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.kyllingstad\ai-konsulent-nettside\public\eksempler\forretning\"/>
    </mc:Choice>
  </mc:AlternateContent>
  <xr:revisionPtr revIDLastSave="0" documentId="13_ncr:1_{8F860A0A-35E7-489A-994A-51139D06EE30}" xr6:coauthVersionLast="47" xr6:coauthVersionMax="47" xr10:uidLastSave="{00000000-0000-0000-0000-000000000000}"/>
  <bookViews>
    <workbookView xWindow="49410" yWindow="-2640" windowWidth="30990" windowHeight="19905" activeTab="4" xr2:uid="{00000000-000D-0000-FFFF-FFFF00000000}"/>
  </bookViews>
  <sheets>
    <sheet name="README" sheetId="5" r:id="rId1"/>
    <sheet name="Sammendrag" sheetId="1" r:id="rId2"/>
    <sheet name="Konservativ" sheetId="2" r:id="rId3"/>
    <sheet name="Base" sheetId="3" r:id="rId4"/>
    <sheet name="Aggressiv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4" l="1"/>
  <c r="N55" i="4"/>
  <c r="T54" i="4"/>
  <c r="N54" i="4"/>
  <c r="T53" i="4"/>
  <c r="N53" i="4"/>
  <c r="T52" i="4"/>
  <c r="N52" i="4"/>
  <c r="T51" i="4"/>
  <c r="N51" i="4"/>
  <c r="T50" i="4"/>
  <c r="N50" i="4"/>
  <c r="T49" i="4"/>
  <c r="N49" i="4"/>
  <c r="T48" i="4"/>
  <c r="N48" i="4"/>
  <c r="T47" i="4"/>
  <c r="N47" i="4"/>
  <c r="T46" i="4"/>
  <c r="N46" i="4"/>
  <c r="T45" i="4"/>
  <c r="N45" i="4"/>
  <c r="T44" i="4"/>
  <c r="N44" i="4"/>
  <c r="T43" i="4"/>
  <c r="N43" i="4"/>
  <c r="T42" i="4"/>
  <c r="N42" i="4"/>
  <c r="T41" i="4"/>
  <c r="N41" i="4"/>
  <c r="T40" i="4"/>
  <c r="N40" i="4"/>
  <c r="T39" i="4"/>
  <c r="N39" i="4"/>
  <c r="T38" i="4"/>
  <c r="N38" i="4"/>
  <c r="F38" i="4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T37" i="4"/>
  <c r="N37" i="4"/>
  <c r="T36" i="4"/>
  <c r="N36" i="4"/>
  <c r="T35" i="4"/>
  <c r="N35" i="4"/>
  <c r="T34" i="4"/>
  <c r="N34" i="4"/>
  <c r="T33" i="4"/>
  <c r="N33" i="4"/>
  <c r="T32" i="4"/>
  <c r="N32" i="4"/>
  <c r="T31" i="4"/>
  <c r="N31" i="4"/>
  <c r="T30" i="4"/>
  <c r="N30" i="4"/>
  <c r="T29" i="4"/>
  <c r="N29" i="4"/>
  <c r="T28" i="4"/>
  <c r="N28" i="4"/>
  <c r="T27" i="4"/>
  <c r="N27" i="4"/>
  <c r="T26" i="4"/>
  <c r="N26" i="4"/>
  <c r="T25" i="4"/>
  <c r="N25" i="4"/>
  <c r="T24" i="4"/>
  <c r="N24" i="4"/>
  <c r="T23" i="4"/>
  <c r="N23" i="4"/>
  <c r="T22" i="4"/>
  <c r="N22" i="4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T21" i="4"/>
  <c r="N21" i="4"/>
  <c r="T20" i="4"/>
  <c r="R20" i="4"/>
  <c r="N20" i="4"/>
  <c r="F20" i="4"/>
  <c r="F21" i="4" s="1"/>
  <c r="B20" i="4"/>
  <c r="E10" i="4"/>
  <c r="E11" i="4" s="1"/>
  <c r="T55" i="3"/>
  <c r="N55" i="3"/>
  <c r="T54" i="3"/>
  <c r="N54" i="3"/>
  <c r="T53" i="3"/>
  <c r="N53" i="3"/>
  <c r="T52" i="3"/>
  <c r="N52" i="3"/>
  <c r="T51" i="3"/>
  <c r="N51" i="3"/>
  <c r="T50" i="3"/>
  <c r="N50" i="3"/>
  <c r="T49" i="3"/>
  <c r="N49" i="3"/>
  <c r="T48" i="3"/>
  <c r="N48" i="3"/>
  <c r="T47" i="3"/>
  <c r="N47" i="3"/>
  <c r="T46" i="3"/>
  <c r="N46" i="3"/>
  <c r="T45" i="3"/>
  <c r="N45" i="3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T37" i="3"/>
  <c r="N37" i="3"/>
  <c r="T36" i="3"/>
  <c r="N36" i="3"/>
  <c r="T35" i="3"/>
  <c r="N35" i="3"/>
  <c r="T34" i="3"/>
  <c r="N34" i="3"/>
  <c r="T33" i="3"/>
  <c r="N33" i="3"/>
  <c r="T32" i="3"/>
  <c r="N32" i="3"/>
  <c r="T31" i="3"/>
  <c r="N31" i="3"/>
  <c r="T30" i="3"/>
  <c r="N30" i="3"/>
  <c r="T29" i="3"/>
  <c r="N29" i="3"/>
  <c r="T28" i="3"/>
  <c r="N28" i="3"/>
  <c r="T27" i="3"/>
  <c r="N27" i="3"/>
  <c r="T26" i="3"/>
  <c r="N26" i="3"/>
  <c r="T25" i="3"/>
  <c r="N25" i="3"/>
  <c r="T24" i="3"/>
  <c r="N24" i="3"/>
  <c r="T23" i="3"/>
  <c r="N23" i="3"/>
  <c r="T22" i="3"/>
  <c r="N22" i="3"/>
  <c r="F22" i="3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T21" i="3"/>
  <c r="N21" i="3"/>
  <c r="T20" i="3"/>
  <c r="R20" i="3"/>
  <c r="N20" i="3"/>
  <c r="F20" i="3"/>
  <c r="F21" i="3" s="1"/>
  <c r="B20" i="3"/>
  <c r="D20" i="3" s="1"/>
  <c r="E10" i="3"/>
  <c r="E11" i="3" s="1"/>
  <c r="T55" i="2"/>
  <c r="N55" i="2"/>
  <c r="T54" i="2"/>
  <c r="N54" i="2"/>
  <c r="T53" i="2"/>
  <c r="N53" i="2"/>
  <c r="T52" i="2"/>
  <c r="N52" i="2"/>
  <c r="T51" i="2"/>
  <c r="N51" i="2"/>
  <c r="T50" i="2"/>
  <c r="N50" i="2"/>
  <c r="T49" i="2"/>
  <c r="N49" i="2"/>
  <c r="T48" i="2"/>
  <c r="N48" i="2"/>
  <c r="T47" i="2"/>
  <c r="N47" i="2"/>
  <c r="T46" i="2"/>
  <c r="N46" i="2"/>
  <c r="T45" i="2"/>
  <c r="N45" i="2"/>
  <c r="T44" i="2"/>
  <c r="N44" i="2"/>
  <c r="T43" i="2"/>
  <c r="N43" i="2"/>
  <c r="T42" i="2"/>
  <c r="N42" i="2"/>
  <c r="T41" i="2"/>
  <c r="N41" i="2"/>
  <c r="T40" i="2"/>
  <c r="N40" i="2"/>
  <c r="T39" i="2"/>
  <c r="N39" i="2"/>
  <c r="T38" i="2"/>
  <c r="N38" i="2"/>
  <c r="T37" i="2"/>
  <c r="N37" i="2"/>
  <c r="T36" i="2"/>
  <c r="N36" i="2"/>
  <c r="T35" i="2"/>
  <c r="N35" i="2"/>
  <c r="T34" i="2"/>
  <c r="N34" i="2"/>
  <c r="T33" i="2"/>
  <c r="N33" i="2"/>
  <c r="T32" i="2"/>
  <c r="N32" i="2"/>
  <c r="T31" i="2"/>
  <c r="N31" i="2"/>
  <c r="T30" i="2"/>
  <c r="N30" i="2"/>
  <c r="T29" i="2"/>
  <c r="N29" i="2"/>
  <c r="T28" i="2"/>
  <c r="N28" i="2"/>
  <c r="T27" i="2"/>
  <c r="N27" i="2"/>
  <c r="T26" i="2"/>
  <c r="N26" i="2"/>
  <c r="T25" i="2"/>
  <c r="N25" i="2"/>
  <c r="T24" i="2"/>
  <c r="N24" i="2"/>
  <c r="T23" i="2"/>
  <c r="N23" i="2"/>
  <c r="F23" i="2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T22" i="2"/>
  <c r="N22" i="2"/>
  <c r="F22" i="2"/>
  <c r="T21" i="2"/>
  <c r="N21" i="2"/>
  <c r="T20" i="2"/>
  <c r="R20" i="2"/>
  <c r="N20" i="2"/>
  <c r="F20" i="2"/>
  <c r="F21" i="2" s="1"/>
  <c r="D20" i="2"/>
  <c r="B20" i="2"/>
  <c r="E10" i="2"/>
  <c r="E11" i="2" s="1"/>
  <c r="V31" i="2" s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V54" i="2" l="1"/>
  <c r="C54" i="2" s="1"/>
  <c r="V39" i="4"/>
  <c r="C39" i="4" s="1"/>
  <c r="V35" i="4"/>
  <c r="V26" i="4"/>
  <c r="C26" i="4" s="1"/>
  <c r="V30" i="4"/>
  <c r="C30" i="4" s="1"/>
  <c r="V37" i="4"/>
  <c r="V53" i="4"/>
  <c r="V34" i="4"/>
  <c r="C34" i="4" s="1"/>
  <c r="V41" i="4"/>
  <c r="C41" i="4" s="1"/>
  <c r="V50" i="4"/>
  <c r="C50" i="4" s="1"/>
  <c r="V46" i="4"/>
  <c r="V32" i="4"/>
  <c r="C32" i="4" s="1"/>
  <c r="V23" i="4"/>
  <c r="C23" i="4" s="1"/>
  <c r="V21" i="4"/>
  <c r="V29" i="4"/>
  <c r="C29" i="4" s="1"/>
  <c r="V24" i="3"/>
  <c r="C24" i="3" s="1"/>
  <c r="V40" i="3"/>
  <c r="C40" i="3" s="1"/>
  <c r="V39" i="3"/>
  <c r="V21" i="3"/>
  <c r="C21" i="3" s="1"/>
  <c r="V35" i="3"/>
  <c r="V27" i="3"/>
  <c r="C27" i="3" s="1"/>
  <c r="V38" i="3"/>
  <c r="C38" i="3" s="1"/>
  <c r="V53" i="3"/>
  <c r="C53" i="3" s="1"/>
  <c r="V31" i="3"/>
  <c r="V47" i="3"/>
  <c r="V22" i="3"/>
  <c r="C22" i="3" s="1"/>
  <c r="V54" i="3"/>
  <c r="C54" i="3" s="1"/>
  <c r="V49" i="3"/>
  <c r="C49" i="3" s="1"/>
  <c r="V30" i="3"/>
  <c r="C30" i="3" s="1"/>
  <c r="V29" i="3"/>
  <c r="C29" i="3" s="1"/>
  <c r="V42" i="3"/>
  <c r="C42" i="3" s="1"/>
  <c r="V32" i="3"/>
  <c r="C32" i="3" s="1"/>
  <c r="V44" i="3"/>
  <c r="C44" i="3" s="1"/>
  <c r="V52" i="3"/>
  <c r="C52" i="3" s="1"/>
  <c r="V50" i="3"/>
  <c r="C50" i="3" s="1"/>
  <c r="V25" i="3"/>
  <c r="C25" i="3" s="1"/>
  <c r="V29" i="2"/>
  <c r="C29" i="2" s="1"/>
  <c r="V40" i="2"/>
  <c r="C40" i="2" s="1"/>
  <c r="V42" i="2"/>
  <c r="C42" i="2" s="1"/>
  <c r="V35" i="2"/>
  <c r="C35" i="2" s="1"/>
  <c r="V28" i="2"/>
  <c r="C28" i="2" s="1"/>
  <c r="V20" i="2"/>
  <c r="C20" i="2" s="1"/>
  <c r="E20" i="2" s="1"/>
  <c r="G20" i="2" s="1"/>
  <c r="H20" i="2" s="1"/>
  <c r="I20" i="2" s="1"/>
  <c r="J20" i="2" s="1"/>
  <c r="O20" i="2" s="1"/>
  <c r="V51" i="2"/>
  <c r="V38" i="2"/>
  <c r="C46" i="4"/>
  <c r="C38" i="2"/>
  <c r="C51" i="2"/>
  <c r="C31" i="3"/>
  <c r="C53" i="4"/>
  <c r="V48" i="2"/>
  <c r="C48" i="2" s="1"/>
  <c r="V37" i="2"/>
  <c r="C37" i="2" s="1"/>
  <c r="V26" i="2"/>
  <c r="C26" i="2" s="1"/>
  <c r="V53" i="2"/>
  <c r="C53" i="2" s="1"/>
  <c r="V39" i="2"/>
  <c r="C39" i="2" s="1"/>
  <c r="V25" i="2"/>
  <c r="C25" i="2" s="1"/>
  <c r="V52" i="2"/>
  <c r="C52" i="2" s="1"/>
  <c r="V22" i="2"/>
  <c r="C22" i="2" s="1"/>
  <c r="V44" i="2"/>
  <c r="C44" i="2" s="1"/>
  <c r="V47" i="2"/>
  <c r="C47" i="2" s="1"/>
  <c r="V33" i="2"/>
  <c r="C33" i="2" s="1"/>
  <c r="V36" i="2"/>
  <c r="C36" i="2" s="1"/>
  <c r="V24" i="2"/>
  <c r="C24" i="2" s="1"/>
  <c r="V45" i="2"/>
  <c r="C45" i="2" s="1"/>
  <c r="V55" i="2"/>
  <c r="C55" i="2" s="1"/>
  <c r="V49" i="2"/>
  <c r="C49" i="2" s="1"/>
  <c r="V46" i="2"/>
  <c r="C46" i="2" s="1"/>
  <c r="V50" i="2"/>
  <c r="C50" i="2" s="1"/>
  <c r="V21" i="2"/>
  <c r="C21" i="2" s="1"/>
  <c r="V43" i="2"/>
  <c r="C43" i="2" s="1"/>
  <c r="V30" i="2"/>
  <c r="C30" i="2" s="1"/>
  <c r="V41" i="2"/>
  <c r="C41" i="2" s="1"/>
  <c r="V34" i="2"/>
  <c r="C34" i="2" s="1"/>
  <c r="V32" i="2"/>
  <c r="C32" i="2" s="1"/>
  <c r="V23" i="2"/>
  <c r="C23" i="2" s="1"/>
  <c r="C37" i="4"/>
  <c r="V27" i="2"/>
  <c r="C27" i="2" s="1"/>
  <c r="C21" i="4"/>
  <c r="C31" i="2"/>
  <c r="C35" i="4"/>
  <c r="C39" i="3"/>
  <c r="V20" i="4"/>
  <c r="C20" i="4" s="1"/>
  <c r="E20" i="4" s="1"/>
  <c r="V28" i="4"/>
  <c r="C28" i="4" s="1"/>
  <c r="V54" i="4"/>
  <c r="C54" i="4" s="1"/>
  <c r="V25" i="4"/>
  <c r="C25" i="4" s="1"/>
  <c r="C47" i="3"/>
  <c r="C35" i="3"/>
  <c r="V55" i="4"/>
  <c r="C55" i="4" s="1"/>
  <c r="V44" i="4"/>
  <c r="C44" i="4" s="1"/>
  <c r="V33" i="4"/>
  <c r="C33" i="4" s="1"/>
  <c r="V22" i="4"/>
  <c r="C22" i="4" s="1"/>
  <c r="V48" i="4"/>
  <c r="C48" i="4" s="1"/>
  <c r="V45" i="4"/>
  <c r="C45" i="4" s="1"/>
  <c r="V49" i="4"/>
  <c r="C49" i="4" s="1"/>
  <c r="V38" i="4"/>
  <c r="C38" i="4" s="1"/>
  <c r="V27" i="4"/>
  <c r="C27" i="4" s="1"/>
  <c r="V43" i="4"/>
  <c r="C43" i="4" s="1"/>
  <c r="V31" i="4"/>
  <c r="C31" i="4" s="1"/>
  <c r="V51" i="4"/>
  <c r="C51" i="4" s="1"/>
  <c r="V47" i="4"/>
  <c r="C47" i="4" s="1"/>
  <c r="V24" i="4"/>
  <c r="C24" i="4" s="1"/>
  <c r="V36" i="4"/>
  <c r="C36" i="4" s="1"/>
  <c r="V52" i="4"/>
  <c r="C52" i="4" s="1"/>
  <c r="V42" i="4"/>
  <c r="C42" i="4" s="1"/>
  <c r="V40" i="4"/>
  <c r="C40" i="4" s="1"/>
  <c r="V48" i="3"/>
  <c r="C48" i="3" s="1"/>
  <c r="V37" i="3"/>
  <c r="C37" i="3" s="1"/>
  <c r="V26" i="3"/>
  <c r="C26" i="3" s="1"/>
  <c r="V45" i="3"/>
  <c r="C45" i="3" s="1"/>
  <c r="V34" i="3"/>
  <c r="C34" i="3" s="1"/>
  <c r="V23" i="3"/>
  <c r="C23" i="3" s="1"/>
  <c r="V43" i="3"/>
  <c r="C43" i="3" s="1"/>
  <c r="V20" i="3"/>
  <c r="C20" i="3" s="1"/>
  <c r="E20" i="3" s="1"/>
  <c r="V51" i="3"/>
  <c r="C51" i="3" s="1"/>
  <c r="V46" i="3"/>
  <c r="C46" i="3" s="1"/>
  <c r="V33" i="3"/>
  <c r="C33" i="3" s="1"/>
  <c r="V28" i="3"/>
  <c r="C28" i="3" s="1"/>
  <c r="V41" i="3"/>
  <c r="C41" i="3" s="1"/>
  <c r="V36" i="3"/>
  <c r="C36" i="3" s="1"/>
  <c r="V55" i="3"/>
  <c r="C55" i="3" s="1"/>
  <c r="D20" i="4"/>
  <c r="B21" i="2" l="1"/>
  <c r="D21" i="2" s="1"/>
  <c r="E21" i="2" s="1"/>
  <c r="Q20" i="2"/>
  <c r="S20" i="2" s="1"/>
  <c r="R21" i="2" s="1"/>
  <c r="B21" i="3"/>
  <c r="G20" i="3"/>
  <c r="B21" i="4"/>
  <c r="G20" i="4"/>
  <c r="H20" i="4" s="1"/>
  <c r="G21" i="2" l="1"/>
  <c r="H21" i="2" s="1"/>
  <c r="B22" i="2"/>
  <c r="I20" i="4"/>
  <c r="J20" i="4" s="1"/>
  <c r="O20" i="4" s="1"/>
  <c r="D21" i="3"/>
  <c r="E21" i="3" s="1"/>
  <c r="D21" i="4"/>
  <c r="E21" i="4"/>
  <c r="B13" i="1"/>
  <c r="H20" i="3"/>
  <c r="Q20" i="4" l="1"/>
  <c r="S20" i="4" s="1"/>
  <c r="R21" i="4" s="1"/>
  <c r="G21" i="3"/>
  <c r="B22" i="3"/>
  <c r="I20" i="3"/>
  <c r="J20" i="3"/>
  <c r="O20" i="3" s="1"/>
  <c r="G21" i="4"/>
  <c r="H21" i="4" s="1"/>
  <c r="B22" i="4"/>
  <c r="D22" i="2"/>
  <c r="E22" i="2" s="1"/>
  <c r="I21" i="2"/>
  <c r="J21" i="2" s="1"/>
  <c r="O21" i="2" s="1"/>
  <c r="B23" i="2" l="1"/>
  <c r="G22" i="2"/>
  <c r="H22" i="2" s="1"/>
  <c r="Q21" i="2"/>
  <c r="S21" i="2" s="1"/>
  <c r="R22" i="2" s="1"/>
  <c r="D22" i="4"/>
  <c r="E22" i="4" s="1"/>
  <c r="I21" i="4"/>
  <c r="J21" i="4" s="1"/>
  <c r="O21" i="4" s="1"/>
  <c r="Q20" i="3"/>
  <c r="S20" i="3" s="1"/>
  <c r="D22" i="3"/>
  <c r="E22" i="3" s="1"/>
  <c r="B14" i="1"/>
  <c r="H21" i="3"/>
  <c r="G22" i="3" l="1"/>
  <c r="B23" i="3"/>
  <c r="Q21" i="4"/>
  <c r="S21" i="4" s="1"/>
  <c r="R22" i="4" s="1"/>
  <c r="B23" i="4"/>
  <c r="G22" i="4"/>
  <c r="H22" i="4" s="1"/>
  <c r="I21" i="3"/>
  <c r="J21" i="3" s="1"/>
  <c r="O21" i="3" s="1"/>
  <c r="C13" i="1"/>
  <c r="R21" i="3"/>
  <c r="I22" i="2"/>
  <c r="J22" i="2" s="1"/>
  <c r="O22" i="2" s="1"/>
  <c r="D23" i="2"/>
  <c r="E23" i="2" s="1"/>
  <c r="B24" i="2" l="1"/>
  <c r="G23" i="2"/>
  <c r="H23" i="2" s="1"/>
  <c r="Q22" i="2"/>
  <c r="S22" i="2" s="1"/>
  <c r="R23" i="2" s="1"/>
  <c r="Q21" i="3"/>
  <c r="S21" i="3" s="1"/>
  <c r="D23" i="4"/>
  <c r="E23" i="4"/>
  <c r="I22" i="4"/>
  <c r="J22" i="4" s="1"/>
  <c r="O22" i="4" s="1"/>
  <c r="D23" i="3"/>
  <c r="E23" i="3" s="1"/>
  <c r="H22" i="3"/>
  <c r="B15" i="1"/>
  <c r="B24" i="3" l="1"/>
  <c r="G23" i="3"/>
  <c r="Q22" i="4"/>
  <c r="S22" i="4" s="1"/>
  <c r="R23" i="4" s="1"/>
  <c r="B24" i="4"/>
  <c r="G23" i="4"/>
  <c r="H23" i="4" s="1"/>
  <c r="I22" i="3"/>
  <c r="J22" i="3" s="1"/>
  <c r="O22" i="3" s="1"/>
  <c r="C14" i="1"/>
  <c r="R22" i="3"/>
  <c r="I23" i="2"/>
  <c r="J23" i="2" s="1"/>
  <c r="O23" i="2" s="1"/>
  <c r="D24" i="2"/>
  <c r="E24" i="2" s="1"/>
  <c r="Q23" i="2" l="1"/>
  <c r="S23" i="2" s="1"/>
  <c r="R24" i="2" s="1"/>
  <c r="G24" i="2"/>
  <c r="H24" i="2" s="1"/>
  <c r="B25" i="2"/>
  <c r="Q22" i="3"/>
  <c r="D24" i="3"/>
  <c r="E24" i="3" s="1"/>
  <c r="S22" i="3"/>
  <c r="I23" i="4"/>
  <c r="J23" i="4"/>
  <c r="O23" i="4" s="1"/>
  <c r="D24" i="4"/>
  <c r="E24" i="4"/>
  <c r="H23" i="3"/>
  <c r="B16" i="1"/>
  <c r="G24" i="3" l="1"/>
  <c r="B25" i="3"/>
  <c r="I23" i="3"/>
  <c r="J23" i="3" s="1"/>
  <c r="O23" i="3" s="1"/>
  <c r="G24" i="4"/>
  <c r="H24" i="4" s="1"/>
  <c r="B25" i="4"/>
  <c r="Q23" i="4"/>
  <c r="S23" i="4" s="1"/>
  <c r="R24" i="4" s="1"/>
  <c r="R23" i="3"/>
  <c r="C15" i="1"/>
  <c r="D25" i="2"/>
  <c r="E25" i="2" s="1"/>
  <c r="I24" i="2"/>
  <c r="J24" i="2" s="1"/>
  <c r="O24" i="2" s="1"/>
  <c r="B26" i="2" l="1"/>
  <c r="G25" i="2"/>
  <c r="H25" i="2" s="1"/>
  <c r="Q23" i="3"/>
  <c r="S23" i="3" s="1"/>
  <c r="D25" i="4"/>
  <c r="E25" i="4" s="1"/>
  <c r="Q24" i="2"/>
  <c r="S24" i="2" s="1"/>
  <c r="R25" i="2" s="1"/>
  <c r="I24" i="4"/>
  <c r="J24" i="4" s="1"/>
  <c r="O24" i="4" s="1"/>
  <c r="D25" i="3"/>
  <c r="E25" i="3"/>
  <c r="H24" i="3"/>
  <c r="B17" i="1"/>
  <c r="G25" i="4" l="1"/>
  <c r="H25" i="4" s="1"/>
  <c r="B26" i="4"/>
  <c r="Q24" i="4"/>
  <c r="S24" i="4" s="1"/>
  <c r="R25" i="4" s="1"/>
  <c r="D26" i="2"/>
  <c r="E26" i="2" s="1"/>
  <c r="G25" i="3"/>
  <c r="B26" i="3"/>
  <c r="I24" i="3"/>
  <c r="J24" i="3"/>
  <c r="O24" i="3" s="1"/>
  <c r="C16" i="1"/>
  <c r="R24" i="3"/>
  <c r="I25" i="2"/>
  <c r="J25" i="2" s="1"/>
  <c r="O25" i="2" s="1"/>
  <c r="Q25" i="2" s="1"/>
  <c r="S25" i="2" s="1"/>
  <c r="R26" i="2" s="1"/>
  <c r="G26" i="2" l="1"/>
  <c r="H26" i="2" s="1"/>
  <c r="B27" i="2"/>
  <c r="I25" i="4"/>
  <c r="J25" i="4" s="1"/>
  <c r="O25" i="4" s="1"/>
  <c r="Q25" i="4" s="1"/>
  <c r="S25" i="4" s="1"/>
  <c r="R26" i="4" s="1"/>
  <c r="Q24" i="3"/>
  <c r="S24" i="3" s="1"/>
  <c r="D26" i="3"/>
  <c r="E26" i="3" s="1"/>
  <c r="B18" i="1"/>
  <c r="H25" i="3"/>
  <c r="D26" i="4"/>
  <c r="E26" i="4" s="1"/>
  <c r="R25" i="3" l="1"/>
  <c r="C17" i="1"/>
  <c r="B27" i="3"/>
  <c r="G26" i="3"/>
  <c r="B27" i="4"/>
  <c r="G26" i="4"/>
  <c r="H26" i="4" s="1"/>
  <c r="I25" i="3"/>
  <c r="J25" i="3" s="1"/>
  <c r="O25" i="3" s="1"/>
  <c r="Q25" i="3" s="1"/>
  <c r="D27" i="2"/>
  <c r="E27" i="2" s="1"/>
  <c r="I26" i="2"/>
  <c r="J26" i="2" s="1"/>
  <c r="O26" i="2" s="1"/>
  <c r="Q26" i="2" s="1"/>
  <c r="S26" i="2" s="1"/>
  <c r="R27" i="2" s="1"/>
  <c r="B28" i="2" l="1"/>
  <c r="G27" i="2"/>
  <c r="H27" i="2" s="1"/>
  <c r="I26" i="4"/>
  <c r="J26" i="4" s="1"/>
  <c r="O26" i="4" s="1"/>
  <c r="Q26" i="4" s="1"/>
  <c r="S26" i="4" s="1"/>
  <c r="R27" i="4" s="1"/>
  <c r="D27" i="4"/>
  <c r="E27" i="4"/>
  <c r="B19" i="1"/>
  <c r="H26" i="3"/>
  <c r="D27" i="3"/>
  <c r="E27" i="3" s="1"/>
  <c r="S25" i="3"/>
  <c r="I27" i="2" l="1"/>
  <c r="J27" i="2"/>
  <c r="O27" i="2" s="1"/>
  <c r="Q27" i="2" s="1"/>
  <c r="S27" i="2" s="1"/>
  <c r="R28" i="2" s="1"/>
  <c r="G27" i="3"/>
  <c r="B28" i="3"/>
  <c r="R26" i="3"/>
  <c r="C18" i="1"/>
  <c r="I26" i="3"/>
  <c r="J26" i="3" s="1"/>
  <c r="O26" i="3" s="1"/>
  <c r="Q26" i="3" s="1"/>
  <c r="B28" i="4"/>
  <c r="G27" i="4"/>
  <c r="H27" i="4" s="1"/>
  <c r="D28" i="2"/>
  <c r="E28" i="2" s="1"/>
  <c r="G28" i="2" l="1"/>
  <c r="H28" i="2" s="1"/>
  <c r="B29" i="2"/>
  <c r="S26" i="3"/>
  <c r="I27" i="4"/>
  <c r="J27" i="4"/>
  <c r="O27" i="4" s="1"/>
  <c r="Q27" i="4" s="1"/>
  <c r="S27" i="4" s="1"/>
  <c r="R28" i="4" s="1"/>
  <c r="D28" i="4"/>
  <c r="E28" i="4"/>
  <c r="D28" i="3"/>
  <c r="E28" i="3" s="1"/>
  <c r="H27" i="3"/>
  <c r="B20" i="1"/>
  <c r="G28" i="4" l="1"/>
  <c r="H28" i="4" s="1"/>
  <c r="B29" i="4"/>
  <c r="I27" i="3"/>
  <c r="J27" i="3" s="1"/>
  <c r="O27" i="3" s="1"/>
  <c r="Q27" i="3" s="1"/>
  <c r="D29" i="2"/>
  <c r="E29" i="2" s="1"/>
  <c r="G28" i="3"/>
  <c r="B29" i="3"/>
  <c r="C19" i="1"/>
  <c r="R27" i="3"/>
  <c r="I28" i="2"/>
  <c r="J28" i="2" s="1"/>
  <c r="O28" i="2" s="1"/>
  <c r="Q28" i="2" s="1"/>
  <c r="S28" i="2" s="1"/>
  <c r="R29" i="2" s="1"/>
  <c r="S27" i="3" l="1"/>
  <c r="B30" i="2"/>
  <c r="G29" i="2"/>
  <c r="H29" i="2" s="1"/>
  <c r="R28" i="3"/>
  <c r="C20" i="1"/>
  <c r="D29" i="3"/>
  <c r="E29" i="3" s="1"/>
  <c r="H28" i="3"/>
  <c r="B21" i="1"/>
  <c r="D29" i="4"/>
  <c r="E29" i="4"/>
  <c r="I28" i="4"/>
  <c r="J28" i="4" s="1"/>
  <c r="O28" i="4" s="1"/>
  <c r="Q28" i="4" s="1"/>
  <c r="S28" i="4" s="1"/>
  <c r="R29" i="4" s="1"/>
  <c r="G29" i="4" l="1"/>
  <c r="H29" i="4" s="1"/>
  <c r="B30" i="4"/>
  <c r="B30" i="3"/>
  <c r="G29" i="3"/>
  <c r="I28" i="3"/>
  <c r="J28" i="3" s="1"/>
  <c r="O28" i="3" s="1"/>
  <c r="Q28" i="3" s="1"/>
  <c r="S28" i="3" s="1"/>
  <c r="I29" i="2"/>
  <c r="J29" i="2" s="1"/>
  <c r="O29" i="2" s="1"/>
  <c r="Q29" i="2" s="1"/>
  <c r="S29" i="2" s="1"/>
  <c r="R30" i="2" s="1"/>
  <c r="D30" i="2"/>
  <c r="E30" i="2" s="1"/>
  <c r="R29" i="3" l="1"/>
  <c r="C21" i="1"/>
  <c r="B31" i="2"/>
  <c r="G30" i="2"/>
  <c r="H30" i="2" s="1"/>
  <c r="B22" i="1"/>
  <c r="H29" i="3"/>
  <c r="D30" i="3"/>
  <c r="E30" i="3" s="1"/>
  <c r="D30" i="4"/>
  <c r="E30" i="4" s="1"/>
  <c r="I29" i="4"/>
  <c r="J29" i="4" s="1"/>
  <c r="O29" i="4" s="1"/>
  <c r="Q29" i="4" s="1"/>
  <c r="S29" i="4" s="1"/>
  <c r="R30" i="4" s="1"/>
  <c r="B31" i="3" l="1"/>
  <c r="G30" i="3"/>
  <c r="G30" i="4"/>
  <c r="H30" i="4" s="1"/>
  <c r="B31" i="4"/>
  <c r="I30" i="2"/>
  <c r="J30" i="2" s="1"/>
  <c r="O30" i="2" s="1"/>
  <c r="Q30" i="2" s="1"/>
  <c r="S30" i="2" s="1"/>
  <c r="R31" i="2" s="1"/>
  <c r="I29" i="3"/>
  <c r="J29" i="3" s="1"/>
  <c r="O29" i="3" s="1"/>
  <c r="Q29" i="3" s="1"/>
  <c r="S29" i="3" s="1"/>
  <c r="D31" i="2"/>
  <c r="E31" i="2" s="1"/>
  <c r="E13" i="2" l="1"/>
  <c r="G31" i="2"/>
  <c r="B32" i="2"/>
  <c r="R30" i="3"/>
  <c r="C22" i="1"/>
  <c r="D31" i="4"/>
  <c r="E31" i="4" s="1"/>
  <c r="B23" i="1"/>
  <c r="H30" i="3"/>
  <c r="D31" i="3"/>
  <c r="E31" i="3" s="1"/>
  <c r="I30" i="4"/>
  <c r="J30" i="4"/>
  <c r="O30" i="4" s="1"/>
  <c r="Q30" i="4" s="1"/>
  <c r="S30" i="4" s="1"/>
  <c r="R31" i="4" s="1"/>
  <c r="B32" i="3" l="1"/>
  <c r="E13" i="3"/>
  <c r="E7" i="1" s="1"/>
  <c r="G31" i="3"/>
  <c r="B32" i="4"/>
  <c r="G31" i="4"/>
  <c r="E13" i="4"/>
  <c r="I30" i="3"/>
  <c r="J30" i="3" s="1"/>
  <c r="O30" i="3" s="1"/>
  <c r="Q30" i="3" s="1"/>
  <c r="S30" i="3" s="1"/>
  <c r="D32" i="2"/>
  <c r="E32" i="2" s="1"/>
  <c r="C13" i="2"/>
  <c r="H31" i="2"/>
  <c r="C23" i="1" l="1"/>
  <c r="R31" i="3"/>
  <c r="C13" i="3"/>
  <c r="C7" i="1" s="1"/>
  <c r="H31" i="3"/>
  <c r="B24" i="1"/>
  <c r="I31" i="2"/>
  <c r="J31" i="2" s="1"/>
  <c r="O31" i="2" s="1"/>
  <c r="B13" i="2"/>
  <c r="G32" i="2"/>
  <c r="H32" i="2" s="1"/>
  <c r="B33" i="2"/>
  <c r="H31" i="4"/>
  <c r="C13" i="4"/>
  <c r="D32" i="4"/>
  <c r="E32" i="4" s="1"/>
  <c r="D32" i="3"/>
  <c r="E32" i="3" s="1"/>
  <c r="G32" i="3" l="1"/>
  <c r="B33" i="3"/>
  <c r="G32" i="4"/>
  <c r="H32" i="4" s="1"/>
  <c r="B33" i="4"/>
  <c r="Q31" i="2"/>
  <c r="S31" i="2" s="1"/>
  <c r="D13" i="2"/>
  <c r="I32" i="2"/>
  <c r="J32" i="2" s="1"/>
  <c r="O32" i="2" s="1"/>
  <c r="I31" i="4"/>
  <c r="J31" i="4" s="1"/>
  <c r="O31" i="4" s="1"/>
  <c r="B13" i="4"/>
  <c r="D33" i="2"/>
  <c r="E33" i="2" s="1"/>
  <c r="I31" i="3"/>
  <c r="J31" i="3"/>
  <c r="O31" i="3" s="1"/>
  <c r="B13" i="3"/>
  <c r="B7" i="1" s="1"/>
  <c r="Q31" i="4" l="1"/>
  <c r="S31" i="4" s="1"/>
  <c r="D13" i="4"/>
  <c r="B34" i="2"/>
  <c r="G33" i="2"/>
  <c r="H33" i="2" s="1"/>
  <c r="Q31" i="3"/>
  <c r="S31" i="3" s="1"/>
  <c r="D13" i="3"/>
  <c r="D7" i="1" s="1"/>
  <c r="Q32" i="2"/>
  <c r="R32" i="2"/>
  <c r="S32" i="2" s="1"/>
  <c r="R33" i="2" s="1"/>
  <c r="F13" i="2"/>
  <c r="D33" i="4"/>
  <c r="E33" i="4" s="1"/>
  <c r="I32" i="4"/>
  <c r="J32" i="4" s="1"/>
  <c r="O32" i="4" s="1"/>
  <c r="D33" i="3"/>
  <c r="E33" i="3" s="1"/>
  <c r="B25" i="1"/>
  <c r="H32" i="3"/>
  <c r="B34" i="3" l="1"/>
  <c r="G33" i="3"/>
  <c r="Q32" i="4"/>
  <c r="G33" i="4"/>
  <c r="H33" i="4" s="1"/>
  <c r="B34" i="4"/>
  <c r="I32" i="3"/>
  <c r="J32" i="3" s="1"/>
  <c r="O32" i="3" s="1"/>
  <c r="F13" i="3"/>
  <c r="F7" i="1" s="1"/>
  <c r="C24" i="1"/>
  <c r="R32" i="3"/>
  <c r="I33" i="2"/>
  <c r="J33" i="2" s="1"/>
  <c r="O33" i="2" s="1"/>
  <c r="D34" i="2"/>
  <c r="E34" i="2" s="1"/>
  <c r="R32" i="4"/>
  <c r="S32" i="4" s="1"/>
  <c r="R33" i="4" s="1"/>
  <c r="F13" i="4"/>
  <c r="Q33" i="2" l="1"/>
  <c r="S33" i="2" s="1"/>
  <c r="R34" i="2" s="1"/>
  <c r="Q32" i="3"/>
  <c r="B35" i="2"/>
  <c r="G34" i="2"/>
  <c r="H34" i="2" s="1"/>
  <c r="S32" i="3"/>
  <c r="D34" i="4"/>
  <c r="E34" i="4" s="1"/>
  <c r="I33" i="4"/>
  <c r="J33" i="4" s="1"/>
  <c r="O33" i="4" s="1"/>
  <c r="H33" i="3"/>
  <c r="B26" i="1"/>
  <c r="D34" i="3"/>
  <c r="E34" i="3" s="1"/>
  <c r="Q33" i="4" l="1"/>
  <c r="S33" i="4" s="1"/>
  <c r="R34" i="4" s="1"/>
  <c r="B35" i="4"/>
  <c r="G34" i="4"/>
  <c r="H34" i="4" s="1"/>
  <c r="B35" i="3"/>
  <c r="G34" i="3"/>
  <c r="D35" i="2"/>
  <c r="E35" i="2" s="1"/>
  <c r="I33" i="3"/>
  <c r="J33" i="3" s="1"/>
  <c r="O33" i="3" s="1"/>
  <c r="C25" i="1"/>
  <c r="R33" i="3"/>
  <c r="I34" i="2"/>
  <c r="J34" i="2" s="1"/>
  <c r="O34" i="2" s="1"/>
  <c r="Q34" i="2" l="1"/>
  <c r="S34" i="2" s="1"/>
  <c r="R35" i="2" s="1"/>
  <c r="Q33" i="3"/>
  <c r="G35" i="2"/>
  <c r="H35" i="2" s="1"/>
  <c r="B36" i="2"/>
  <c r="S33" i="3"/>
  <c r="D35" i="3"/>
  <c r="E35" i="3" s="1"/>
  <c r="I34" i="4"/>
  <c r="J34" i="4" s="1"/>
  <c r="O34" i="4" s="1"/>
  <c r="H34" i="3"/>
  <c r="B27" i="1"/>
  <c r="D35" i="4"/>
  <c r="E35" i="4" s="1"/>
  <c r="G35" i="4" l="1"/>
  <c r="H35" i="4" s="1"/>
  <c r="B36" i="4"/>
  <c r="Q34" i="4"/>
  <c r="S34" i="4" s="1"/>
  <c r="R35" i="4" s="1"/>
  <c r="B36" i="3"/>
  <c r="G35" i="3"/>
  <c r="I34" i="3"/>
  <c r="J34" i="3" s="1"/>
  <c r="O34" i="3" s="1"/>
  <c r="I35" i="2"/>
  <c r="J35" i="2" s="1"/>
  <c r="O35" i="2" s="1"/>
  <c r="R34" i="3"/>
  <c r="C26" i="1"/>
  <c r="D36" i="2"/>
  <c r="E36" i="2"/>
  <c r="Q35" i="2" l="1"/>
  <c r="S35" i="2" s="1"/>
  <c r="R36" i="2" s="1"/>
  <c r="Q34" i="3"/>
  <c r="H35" i="3"/>
  <c r="B28" i="1"/>
  <c r="B37" i="2"/>
  <c r="G36" i="2"/>
  <c r="H36" i="2" s="1"/>
  <c r="D36" i="4"/>
  <c r="E36" i="4" s="1"/>
  <c r="S34" i="3"/>
  <c r="D36" i="3"/>
  <c r="E36" i="3"/>
  <c r="I35" i="4"/>
  <c r="J35" i="4" s="1"/>
  <c r="O35" i="4" s="1"/>
  <c r="B37" i="4" l="1"/>
  <c r="G36" i="4"/>
  <c r="H36" i="4" s="1"/>
  <c r="Q35" i="4"/>
  <c r="S35" i="4" s="1"/>
  <c r="R36" i="4" s="1"/>
  <c r="D37" i="2"/>
  <c r="E37" i="2" s="1"/>
  <c r="G36" i="3"/>
  <c r="B37" i="3"/>
  <c r="I36" i="2"/>
  <c r="J36" i="2" s="1"/>
  <c r="O36" i="2" s="1"/>
  <c r="I35" i="3"/>
  <c r="J35" i="3" s="1"/>
  <c r="O35" i="3" s="1"/>
  <c r="R35" i="3"/>
  <c r="C27" i="1"/>
  <c r="Q35" i="3" l="1"/>
  <c r="Q36" i="2"/>
  <c r="S36" i="2" s="1"/>
  <c r="R37" i="2" s="1"/>
  <c r="B38" i="2"/>
  <c r="G37" i="2"/>
  <c r="H37" i="2" s="1"/>
  <c r="S35" i="3"/>
  <c r="D37" i="3"/>
  <c r="E37" i="3" s="1"/>
  <c r="I36" i="4"/>
  <c r="J36" i="4"/>
  <c r="O36" i="4" s="1"/>
  <c r="B29" i="1"/>
  <c r="H36" i="3"/>
  <c r="D37" i="4"/>
  <c r="E37" i="4" s="1"/>
  <c r="B38" i="4" l="1"/>
  <c r="G37" i="4"/>
  <c r="H37" i="4" s="1"/>
  <c r="I36" i="3"/>
  <c r="J36" i="3"/>
  <c r="O36" i="3" s="1"/>
  <c r="Q36" i="4"/>
  <c r="S36" i="4" s="1"/>
  <c r="R37" i="4" s="1"/>
  <c r="B38" i="3"/>
  <c r="G37" i="3"/>
  <c r="I37" i="2"/>
  <c r="J37" i="2" s="1"/>
  <c r="O37" i="2" s="1"/>
  <c r="Q37" i="2" s="1"/>
  <c r="S37" i="2" s="1"/>
  <c r="R38" i="2" s="1"/>
  <c r="R36" i="3"/>
  <c r="C28" i="1"/>
  <c r="D38" i="2"/>
  <c r="E38" i="2" s="1"/>
  <c r="D38" i="3" l="1"/>
  <c r="E38" i="3" s="1"/>
  <c r="Q36" i="3"/>
  <c r="S36" i="3" s="1"/>
  <c r="B39" i="2"/>
  <c r="G38" i="2"/>
  <c r="H38" i="2" s="1"/>
  <c r="I37" i="4"/>
  <c r="J37" i="4" s="1"/>
  <c r="O37" i="4" s="1"/>
  <c r="Q37" i="4" s="1"/>
  <c r="S37" i="4" s="1"/>
  <c r="R38" i="4" s="1"/>
  <c r="B30" i="1"/>
  <c r="H37" i="3"/>
  <c r="D38" i="4"/>
  <c r="E38" i="4" s="1"/>
  <c r="B39" i="4" l="1"/>
  <c r="G38" i="4"/>
  <c r="H38" i="4" s="1"/>
  <c r="B39" i="3"/>
  <c r="G38" i="3"/>
  <c r="I38" i="2"/>
  <c r="J38" i="2" s="1"/>
  <c r="O38" i="2" s="1"/>
  <c r="Q38" i="2" s="1"/>
  <c r="S38" i="2" s="1"/>
  <c r="R39" i="2" s="1"/>
  <c r="I37" i="3"/>
  <c r="J37" i="3" s="1"/>
  <c r="O37" i="3" s="1"/>
  <c r="Q37" i="3" s="1"/>
  <c r="C29" i="1"/>
  <c r="R37" i="3"/>
  <c r="D39" i="2"/>
  <c r="E39" i="2" s="1"/>
  <c r="G39" i="2" l="1"/>
  <c r="H39" i="2" s="1"/>
  <c r="B40" i="2"/>
  <c r="S37" i="3"/>
  <c r="D39" i="3"/>
  <c r="E39" i="3" s="1"/>
  <c r="D39" i="4"/>
  <c r="E39" i="4" s="1"/>
  <c r="B31" i="1"/>
  <c r="H38" i="3"/>
  <c r="I38" i="4"/>
  <c r="J38" i="4" s="1"/>
  <c r="O38" i="4" s="1"/>
  <c r="Q38" i="4" s="1"/>
  <c r="S38" i="4" s="1"/>
  <c r="R39" i="4" s="1"/>
  <c r="G39" i="3" l="1"/>
  <c r="B40" i="3"/>
  <c r="B40" i="4"/>
  <c r="G39" i="4"/>
  <c r="H39" i="4" s="1"/>
  <c r="D40" i="2"/>
  <c r="E40" i="2" s="1"/>
  <c r="I38" i="3"/>
  <c r="J38" i="3" s="1"/>
  <c r="O38" i="3" s="1"/>
  <c r="Q38" i="3" s="1"/>
  <c r="R38" i="3"/>
  <c r="C30" i="1"/>
  <c r="I39" i="2"/>
  <c r="J39" i="2" s="1"/>
  <c r="O39" i="2" s="1"/>
  <c r="Q39" i="2" s="1"/>
  <c r="S39" i="2" s="1"/>
  <c r="R40" i="2" s="1"/>
  <c r="G40" i="2" l="1"/>
  <c r="H40" i="2" s="1"/>
  <c r="B41" i="2"/>
  <c r="D40" i="3"/>
  <c r="E40" i="3" s="1"/>
  <c r="S38" i="3"/>
  <c r="I39" i="4"/>
  <c r="J39" i="4"/>
  <c r="O39" i="4" s="1"/>
  <c r="Q39" i="4" s="1"/>
  <c r="S39" i="4" s="1"/>
  <c r="R40" i="4" s="1"/>
  <c r="D40" i="4"/>
  <c r="E40" i="4" s="1"/>
  <c r="H39" i="3"/>
  <c r="B32" i="1"/>
  <c r="G40" i="3" l="1"/>
  <c r="B41" i="3"/>
  <c r="G40" i="4"/>
  <c r="H40" i="4" s="1"/>
  <c r="B41" i="4"/>
  <c r="I39" i="3"/>
  <c r="J39" i="3" s="1"/>
  <c r="O39" i="3" s="1"/>
  <c r="Q39" i="3" s="1"/>
  <c r="C31" i="1"/>
  <c r="R39" i="3"/>
  <c r="D41" i="2"/>
  <c r="E41" i="2"/>
  <c r="I40" i="2"/>
  <c r="J40" i="2" s="1"/>
  <c r="O40" i="2" s="1"/>
  <c r="Q40" i="2" s="1"/>
  <c r="S40" i="2" s="1"/>
  <c r="R41" i="2" s="1"/>
  <c r="B42" i="2" l="1"/>
  <c r="G41" i="2"/>
  <c r="H41" i="2" s="1"/>
  <c r="S39" i="3"/>
  <c r="D41" i="4"/>
  <c r="E41" i="4"/>
  <c r="J40" i="4"/>
  <c r="O40" i="4" s="1"/>
  <c r="Q40" i="4" s="1"/>
  <c r="S40" i="4" s="1"/>
  <c r="R41" i="4" s="1"/>
  <c r="I40" i="4"/>
  <c r="D41" i="3"/>
  <c r="E41" i="3" s="1"/>
  <c r="H40" i="3"/>
  <c r="B33" i="1"/>
  <c r="B42" i="3" l="1"/>
  <c r="G41" i="3"/>
  <c r="I41" i="2"/>
  <c r="J41" i="2" s="1"/>
  <c r="O41" i="2" s="1"/>
  <c r="Q41" i="2" s="1"/>
  <c r="S41" i="2" s="1"/>
  <c r="R42" i="2" s="1"/>
  <c r="I40" i="3"/>
  <c r="J40" i="3"/>
  <c r="O40" i="3" s="1"/>
  <c r="Q40" i="3" s="1"/>
  <c r="R40" i="3"/>
  <c r="C32" i="1"/>
  <c r="D42" i="2"/>
  <c r="E42" i="2"/>
  <c r="B42" i="4"/>
  <c r="G41" i="4"/>
  <c r="H41" i="4" s="1"/>
  <c r="S40" i="3" l="1"/>
  <c r="I41" i="4"/>
  <c r="J41" i="4" s="1"/>
  <c r="O41" i="4" s="1"/>
  <c r="Q41" i="4" s="1"/>
  <c r="S41" i="4" s="1"/>
  <c r="R42" i="4" s="1"/>
  <c r="C33" i="1"/>
  <c r="R41" i="3"/>
  <c r="G42" i="2"/>
  <c r="H42" i="2" s="1"/>
  <c r="B43" i="2"/>
  <c r="B34" i="1"/>
  <c r="H41" i="3"/>
  <c r="D42" i="4"/>
  <c r="E42" i="4" s="1"/>
  <c r="D42" i="3"/>
  <c r="E42" i="3"/>
  <c r="G42" i="4" l="1"/>
  <c r="H42" i="4" s="1"/>
  <c r="B43" i="4"/>
  <c r="I41" i="3"/>
  <c r="J41" i="3" s="1"/>
  <c r="O41" i="3" s="1"/>
  <c r="Q41" i="3" s="1"/>
  <c r="S41" i="3" s="1"/>
  <c r="B43" i="3"/>
  <c r="G42" i="3"/>
  <c r="D43" i="2"/>
  <c r="E43" i="2" s="1"/>
  <c r="I42" i="2"/>
  <c r="J42" i="2" s="1"/>
  <c r="O42" i="2" s="1"/>
  <c r="Q42" i="2" s="1"/>
  <c r="S42" i="2" s="1"/>
  <c r="R43" i="2" s="1"/>
  <c r="C34" i="1" l="1"/>
  <c r="R42" i="3"/>
  <c r="G43" i="2"/>
  <c r="B44" i="2"/>
  <c r="E14" i="2"/>
  <c r="B35" i="1"/>
  <c r="H42" i="3"/>
  <c r="D43" i="3"/>
  <c r="E43" i="3" s="1"/>
  <c r="D43" i="4"/>
  <c r="E43" i="4" s="1"/>
  <c r="I42" i="4"/>
  <c r="J42" i="4" s="1"/>
  <c r="O42" i="4" s="1"/>
  <c r="Q42" i="4" s="1"/>
  <c r="S42" i="4" s="1"/>
  <c r="R43" i="4" s="1"/>
  <c r="B44" i="4" l="1"/>
  <c r="G43" i="4"/>
  <c r="E14" i="4"/>
  <c r="G43" i="3"/>
  <c r="E14" i="3"/>
  <c r="E8" i="1" s="1"/>
  <c r="B44" i="3"/>
  <c r="I42" i="3"/>
  <c r="J42" i="3" s="1"/>
  <c r="O42" i="3" s="1"/>
  <c r="Q42" i="3" s="1"/>
  <c r="S42" i="3" s="1"/>
  <c r="D44" i="2"/>
  <c r="E44" i="2" s="1"/>
  <c r="H43" i="2"/>
  <c r="C14" i="2"/>
  <c r="B45" i="2" l="1"/>
  <c r="G44" i="2"/>
  <c r="H44" i="2" s="1"/>
  <c r="R43" i="3"/>
  <c r="C35" i="1"/>
  <c r="I43" i="2"/>
  <c r="J43" i="2" s="1"/>
  <c r="O43" i="2" s="1"/>
  <c r="B14" i="2"/>
  <c r="D44" i="3"/>
  <c r="E44" i="3"/>
  <c r="H43" i="4"/>
  <c r="C14" i="4"/>
  <c r="H43" i="3"/>
  <c r="C14" i="3"/>
  <c r="C8" i="1" s="1"/>
  <c r="B36" i="1"/>
  <c r="D44" i="4"/>
  <c r="E44" i="4" s="1"/>
  <c r="Q43" i="2" l="1"/>
  <c r="S43" i="2" s="1"/>
  <c r="D14" i="2"/>
  <c r="I43" i="4"/>
  <c r="J43" i="4" s="1"/>
  <c r="O43" i="4" s="1"/>
  <c r="B14" i="4"/>
  <c r="I43" i="3"/>
  <c r="J43" i="3" s="1"/>
  <c r="O43" i="3" s="1"/>
  <c r="B14" i="3"/>
  <c r="B8" i="1" s="1"/>
  <c r="B45" i="4"/>
  <c r="G44" i="4"/>
  <c r="H44" i="4" s="1"/>
  <c r="B45" i="3"/>
  <c r="G44" i="3"/>
  <c r="I44" i="2"/>
  <c r="J44" i="2" s="1"/>
  <c r="O44" i="2" s="1"/>
  <c r="D45" i="2"/>
  <c r="E45" i="2" s="1"/>
  <c r="Q44" i="2" l="1"/>
  <c r="B46" i="2"/>
  <c r="G45" i="2"/>
  <c r="H45" i="2" s="1"/>
  <c r="Q43" i="3"/>
  <c r="S43" i="3" s="1"/>
  <c r="D14" i="3"/>
  <c r="D8" i="1" s="1"/>
  <c r="H44" i="3"/>
  <c r="B37" i="1"/>
  <c r="D45" i="3"/>
  <c r="E45" i="3" s="1"/>
  <c r="D45" i="4"/>
  <c r="E45" i="4" s="1"/>
  <c r="I44" i="4"/>
  <c r="J44" i="4" s="1"/>
  <c r="O44" i="4" s="1"/>
  <c r="Q43" i="4"/>
  <c r="S43" i="4" s="1"/>
  <c r="D14" i="4"/>
  <c r="R44" i="2"/>
  <c r="S44" i="2" s="1"/>
  <c r="R45" i="2" s="1"/>
  <c r="F14" i="2"/>
  <c r="Q44" i="4" l="1"/>
  <c r="G45" i="3"/>
  <c r="B46" i="3"/>
  <c r="F14" i="4"/>
  <c r="R44" i="4"/>
  <c r="I44" i="3"/>
  <c r="J44" i="3" s="1"/>
  <c r="O44" i="3" s="1"/>
  <c r="F14" i="3"/>
  <c r="F8" i="1" s="1"/>
  <c r="R44" i="3"/>
  <c r="C36" i="1"/>
  <c r="I45" i="2"/>
  <c r="J45" i="2" s="1"/>
  <c r="O45" i="2" s="1"/>
  <c r="D46" i="2"/>
  <c r="E46" i="2" s="1"/>
  <c r="B46" i="4"/>
  <c r="G45" i="4"/>
  <c r="H45" i="4" s="1"/>
  <c r="Q45" i="2" l="1"/>
  <c r="S45" i="2" s="1"/>
  <c r="R46" i="2" s="1"/>
  <c r="G46" i="2"/>
  <c r="H46" i="2" s="1"/>
  <c r="B47" i="2"/>
  <c r="Q44" i="3"/>
  <c r="S44" i="3" s="1"/>
  <c r="I45" i="4"/>
  <c r="J45" i="4" s="1"/>
  <c r="O45" i="4" s="1"/>
  <c r="S44" i="4"/>
  <c r="R45" i="4" s="1"/>
  <c r="B38" i="1"/>
  <c r="H45" i="3"/>
  <c r="D46" i="4"/>
  <c r="E46" i="4" s="1"/>
  <c r="D46" i="3"/>
  <c r="E46" i="3" s="1"/>
  <c r="B47" i="3" l="1"/>
  <c r="G46" i="3"/>
  <c r="Q45" i="4"/>
  <c r="G46" i="4"/>
  <c r="H46" i="4" s="1"/>
  <c r="B47" i="4"/>
  <c r="R45" i="3"/>
  <c r="C37" i="1"/>
  <c r="I45" i="3"/>
  <c r="J45" i="3"/>
  <c r="O45" i="3" s="1"/>
  <c r="S45" i="4"/>
  <c r="R46" i="4" s="1"/>
  <c r="D47" i="2"/>
  <c r="E47" i="2" s="1"/>
  <c r="I46" i="2"/>
  <c r="J46" i="2" s="1"/>
  <c r="O46" i="2" s="1"/>
  <c r="Q46" i="2" l="1"/>
  <c r="S46" i="2" s="1"/>
  <c r="R47" i="2" s="1"/>
  <c r="B48" i="2"/>
  <c r="G47" i="2"/>
  <c r="H47" i="2" s="1"/>
  <c r="Q45" i="3"/>
  <c r="S45" i="3" s="1"/>
  <c r="H46" i="3"/>
  <c r="B39" i="1"/>
  <c r="D47" i="4"/>
  <c r="E47" i="4" s="1"/>
  <c r="I46" i="4"/>
  <c r="J46" i="4" s="1"/>
  <c r="O46" i="4" s="1"/>
  <c r="D47" i="3"/>
  <c r="E47" i="3" s="1"/>
  <c r="G47" i="3" l="1"/>
  <c r="B48" i="3"/>
  <c r="Q46" i="4"/>
  <c r="S46" i="4" s="1"/>
  <c r="R47" i="4" s="1"/>
  <c r="G47" i="4"/>
  <c r="H47" i="4" s="1"/>
  <c r="B48" i="4"/>
  <c r="C38" i="1"/>
  <c r="R46" i="3"/>
  <c r="I47" i="2"/>
  <c r="J47" i="2" s="1"/>
  <c r="O47" i="2" s="1"/>
  <c r="D48" i="2"/>
  <c r="E48" i="2" s="1"/>
  <c r="I46" i="3"/>
  <c r="J46" i="3" s="1"/>
  <c r="O46" i="3" s="1"/>
  <c r="Q46" i="3" l="1"/>
  <c r="Q47" i="2"/>
  <c r="S47" i="2" s="1"/>
  <c r="R48" i="2" s="1"/>
  <c r="B49" i="2"/>
  <c r="G48" i="2"/>
  <c r="H48" i="2" s="1"/>
  <c r="S46" i="3"/>
  <c r="D48" i="3"/>
  <c r="E48" i="3" s="1"/>
  <c r="D48" i="4"/>
  <c r="E48" i="4" s="1"/>
  <c r="I47" i="4"/>
  <c r="J47" i="4" s="1"/>
  <c r="O47" i="4" s="1"/>
  <c r="B40" i="1"/>
  <c r="H47" i="3"/>
  <c r="B49" i="4" l="1"/>
  <c r="G48" i="4"/>
  <c r="H48" i="4" s="1"/>
  <c r="Q47" i="4"/>
  <c r="S47" i="4" s="1"/>
  <c r="R48" i="4" s="1"/>
  <c r="B49" i="3"/>
  <c r="G48" i="3"/>
  <c r="I48" i="2"/>
  <c r="J48" i="2" s="1"/>
  <c r="O48" i="2" s="1"/>
  <c r="I47" i="3"/>
  <c r="J47" i="3" s="1"/>
  <c r="O47" i="3" s="1"/>
  <c r="R47" i="3"/>
  <c r="C39" i="1"/>
  <c r="D49" i="2"/>
  <c r="E49" i="2" s="1"/>
  <c r="Q47" i="3" l="1"/>
  <c r="B50" i="2"/>
  <c r="G49" i="2"/>
  <c r="H49" i="2" s="1"/>
  <c r="Q48" i="2"/>
  <c r="S48" i="2" s="1"/>
  <c r="R49" i="2" s="1"/>
  <c r="S47" i="3"/>
  <c r="H48" i="3"/>
  <c r="B41" i="1"/>
  <c r="D49" i="3"/>
  <c r="E49" i="3"/>
  <c r="I48" i="4"/>
  <c r="J48" i="4" s="1"/>
  <c r="O48" i="4" s="1"/>
  <c r="D49" i="4"/>
  <c r="E49" i="4" s="1"/>
  <c r="Q48" i="4" l="1"/>
  <c r="S48" i="4" s="1"/>
  <c r="R49" i="4" s="1"/>
  <c r="B50" i="4"/>
  <c r="G49" i="4"/>
  <c r="H49" i="4" s="1"/>
  <c r="B50" i="3"/>
  <c r="G49" i="3"/>
  <c r="I48" i="3"/>
  <c r="J48" i="3" s="1"/>
  <c r="O48" i="3" s="1"/>
  <c r="I49" i="2"/>
  <c r="J49" i="2" s="1"/>
  <c r="O49" i="2" s="1"/>
  <c r="Q49" i="2" s="1"/>
  <c r="S49" i="2" s="1"/>
  <c r="R50" i="2" s="1"/>
  <c r="R48" i="3"/>
  <c r="C40" i="1"/>
  <c r="D50" i="2"/>
  <c r="E50" i="2" s="1"/>
  <c r="G50" i="2" l="1"/>
  <c r="H50" i="2" s="1"/>
  <c r="B51" i="2"/>
  <c r="Q48" i="3"/>
  <c r="D50" i="4"/>
  <c r="E50" i="4" s="1"/>
  <c r="H49" i="3"/>
  <c r="B42" i="1"/>
  <c r="S48" i="3"/>
  <c r="D50" i="3"/>
  <c r="E50" i="3" s="1"/>
  <c r="I49" i="4"/>
  <c r="J49" i="4" s="1"/>
  <c r="O49" i="4" s="1"/>
  <c r="Q49" i="4" s="1"/>
  <c r="S49" i="4" s="1"/>
  <c r="R50" i="4" s="1"/>
  <c r="G50" i="3" l="1"/>
  <c r="B51" i="3"/>
  <c r="G50" i="4"/>
  <c r="H50" i="4" s="1"/>
  <c r="B51" i="4"/>
  <c r="R49" i="3"/>
  <c r="C41" i="1"/>
  <c r="I49" i="3"/>
  <c r="J49" i="3"/>
  <c r="O49" i="3" s="1"/>
  <c r="Q49" i="3" s="1"/>
  <c r="D51" i="2"/>
  <c r="E51" i="2" s="1"/>
  <c r="I50" i="2"/>
  <c r="J50" i="2" s="1"/>
  <c r="O50" i="2" s="1"/>
  <c r="Q50" i="2" s="1"/>
  <c r="S50" i="2" s="1"/>
  <c r="R51" i="2" s="1"/>
  <c r="G51" i="2" l="1"/>
  <c r="H51" i="2" s="1"/>
  <c r="B52" i="2"/>
  <c r="D51" i="4"/>
  <c r="E51" i="4" s="1"/>
  <c r="S49" i="3"/>
  <c r="I50" i="4"/>
  <c r="J50" i="4" s="1"/>
  <c r="O50" i="4" s="1"/>
  <c r="Q50" i="4" s="1"/>
  <c r="S50" i="4" s="1"/>
  <c r="R51" i="4" s="1"/>
  <c r="D51" i="3"/>
  <c r="E51" i="3"/>
  <c r="H50" i="3"/>
  <c r="B43" i="1"/>
  <c r="G51" i="4" l="1"/>
  <c r="H51" i="4" s="1"/>
  <c r="B52" i="4"/>
  <c r="D52" i="2"/>
  <c r="E52" i="2" s="1"/>
  <c r="B52" i="3"/>
  <c r="G51" i="3"/>
  <c r="I51" i="2"/>
  <c r="J51" i="2" s="1"/>
  <c r="O51" i="2" s="1"/>
  <c r="Q51" i="2" s="1"/>
  <c r="S51" i="2" s="1"/>
  <c r="R52" i="2" s="1"/>
  <c r="I50" i="3"/>
  <c r="J50" i="3"/>
  <c r="O50" i="3" s="1"/>
  <c r="Q50" i="3" s="1"/>
  <c r="R50" i="3"/>
  <c r="C42" i="1"/>
  <c r="B53" i="2" l="1"/>
  <c r="G52" i="2"/>
  <c r="H52" i="2" s="1"/>
  <c r="S50" i="3"/>
  <c r="D52" i="3"/>
  <c r="E52" i="3" s="1"/>
  <c r="H51" i="3"/>
  <c r="B44" i="1"/>
  <c r="D52" i="4"/>
  <c r="E52" i="4" s="1"/>
  <c r="I51" i="4"/>
  <c r="J51" i="4" s="1"/>
  <c r="O51" i="4" s="1"/>
  <c r="Q51" i="4" s="1"/>
  <c r="S51" i="4" s="1"/>
  <c r="R52" i="4" s="1"/>
  <c r="B53" i="4" l="1"/>
  <c r="G52" i="4"/>
  <c r="H52" i="4" s="1"/>
  <c r="B53" i="3"/>
  <c r="G52" i="3"/>
  <c r="I51" i="3"/>
  <c r="J51" i="3" s="1"/>
  <c r="O51" i="3" s="1"/>
  <c r="Q51" i="3" s="1"/>
  <c r="R51" i="3"/>
  <c r="C43" i="1"/>
  <c r="I52" i="2"/>
  <c r="J52" i="2" s="1"/>
  <c r="O52" i="2" s="1"/>
  <c r="Q52" i="2" s="1"/>
  <c r="S52" i="2" s="1"/>
  <c r="R53" i="2" s="1"/>
  <c r="D53" i="2"/>
  <c r="E53" i="2" s="1"/>
  <c r="B54" i="2" l="1"/>
  <c r="G53" i="2"/>
  <c r="H53" i="2" s="1"/>
  <c r="B45" i="1"/>
  <c r="H52" i="3"/>
  <c r="S51" i="3"/>
  <c r="D53" i="3"/>
  <c r="E53" i="3"/>
  <c r="I52" i="4"/>
  <c r="J52" i="4" s="1"/>
  <c r="O52" i="4" s="1"/>
  <c r="Q52" i="4" s="1"/>
  <c r="S52" i="4" s="1"/>
  <c r="R53" i="4" s="1"/>
  <c r="D53" i="4"/>
  <c r="E53" i="4" s="1"/>
  <c r="G53" i="4" l="1"/>
  <c r="H53" i="4" s="1"/>
  <c r="B54" i="4"/>
  <c r="R52" i="3"/>
  <c r="C44" i="1"/>
  <c r="I52" i="3"/>
  <c r="J52" i="3" s="1"/>
  <c r="O52" i="3" s="1"/>
  <c r="Q52" i="3" s="1"/>
  <c r="I53" i="2"/>
  <c r="J53" i="2" s="1"/>
  <c r="O53" i="2" s="1"/>
  <c r="Q53" i="2" s="1"/>
  <c r="S53" i="2" s="1"/>
  <c r="R54" i="2" s="1"/>
  <c r="B54" i="3"/>
  <c r="G53" i="3"/>
  <c r="D54" i="2"/>
  <c r="E54" i="2" s="1"/>
  <c r="G54" i="2" l="1"/>
  <c r="H54" i="2" s="1"/>
  <c r="B55" i="2"/>
  <c r="B46" i="1"/>
  <c r="H53" i="3"/>
  <c r="D54" i="3"/>
  <c r="E54" i="3" s="1"/>
  <c r="S52" i="3"/>
  <c r="D54" i="4"/>
  <c r="E54" i="4" s="1"/>
  <c r="I53" i="4"/>
  <c r="J53" i="4" s="1"/>
  <c r="O53" i="4" s="1"/>
  <c r="Q53" i="4" s="1"/>
  <c r="S53" i="4" s="1"/>
  <c r="R54" i="4" s="1"/>
  <c r="B55" i="4" l="1"/>
  <c r="G54" i="4"/>
  <c r="H54" i="4" s="1"/>
  <c r="B55" i="3"/>
  <c r="G54" i="3"/>
  <c r="I53" i="3"/>
  <c r="J53" i="3" s="1"/>
  <c r="O53" i="3" s="1"/>
  <c r="Q53" i="3" s="1"/>
  <c r="I54" i="2"/>
  <c r="J54" i="2" s="1"/>
  <c r="O54" i="2" s="1"/>
  <c r="Q54" i="2" s="1"/>
  <c r="S54" i="2" s="1"/>
  <c r="R55" i="2" s="1"/>
  <c r="C45" i="1"/>
  <c r="R53" i="3"/>
  <c r="D55" i="2"/>
  <c r="E55" i="2" s="1"/>
  <c r="G55" i="2" l="1"/>
  <c r="E15" i="2"/>
  <c r="B47" i="1"/>
  <c r="H54" i="3"/>
  <c r="S53" i="3"/>
  <c r="I54" i="4"/>
  <c r="J54" i="4" s="1"/>
  <c r="O54" i="4" s="1"/>
  <c r="Q54" i="4" s="1"/>
  <c r="S54" i="4" s="1"/>
  <c r="R55" i="4" s="1"/>
  <c r="D55" i="3"/>
  <c r="E55" i="3" s="1"/>
  <c r="D55" i="4"/>
  <c r="E55" i="4" s="1"/>
  <c r="G55" i="3" l="1"/>
  <c r="E15" i="3"/>
  <c r="E9" i="1" s="1"/>
  <c r="E15" i="4"/>
  <c r="G55" i="4"/>
  <c r="C46" i="1"/>
  <c r="R54" i="3"/>
  <c r="I54" i="3"/>
  <c r="J54" i="3" s="1"/>
  <c r="O54" i="3" s="1"/>
  <c r="Q54" i="3" s="1"/>
  <c r="C15" i="2"/>
  <c r="H55" i="2"/>
  <c r="I55" i="2" l="1"/>
  <c r="J55" i="2" s="1"/>
  <c r="O55" i="2" s="1"/>
  <c r="B15" i="2"/>
  <c r="S54" i="3"/>
  <c r="C15" i="4"/>
  <c r="H55" i="4"/>
  <c r="H55" i="3"/>
  <c r="B48" i="1"/>
  <c r="C15" i="3"/>
  <c r="C9" i="1" s="1"/>
  <c r="Q55" i="2" l="1"/>
  <c r="S55" i="2" s="1"/>
  <c r="F15" i="2" s="1"/>
  <c r="D15" i="2"/>
  <c r="I55" i="4"/>
  <c r="J55" i="4" s="1"/>
  <c r="O55" i="4" s="1"/>
  <c r="B15" i="4"/>
  <c r="I55" i="3"/>
  <c r="J55" i="3" s="1"/>
  <c r="O55" i="3" s="1"/>
  <c r="B15" i="3"/>
  <c r="B9" i="1" s="1"/>
  <c r="C47" i="1"/>
  <c r="R55" i="3"/>
  <c r="Q55" i="3" l="1"/>
  <c r="D15" i="3"/>
  <c r="D9" i="1" s="1"/>
  <c r="Q55" i="4"/>
  <c r="S55" i="4" s="1"/>
  <c r="F15" i="4" s="1"/>
  <c r="D15" i="4"/>
  <c r="S55" i="3"/>
  <c r="F15" i="3" l="1"/>
  <c r="F9" i="1" s="1"/>
  <c r="C48" i="1"/>
</calcChain>
</file>

<file path=xl/sharedStrings.xml><?xml version="1.0" encoding="utf-8"?>
<sst xmlns="http://schemas.openxmlformats.org/spreadsheetml/2006/main" count="179" uniqueCount="70">
  <si>
    <t>Sammendrag – finansmodell (36 måneder)</t>
  </si>
  <si>
    <t>Velg scenario:</t>
  </si>
  <si>
    <t>Base</t>
  </si>
  <si>
    <t>Nøkkeltall per år (hentes fra valgt scenario)</t>
  </si>
  <si>
    <t>År</t>
  </si>
  <si>
    <t>Omsetning</t>
  </si>
  <si>
    <t>ARR (utgang)</t>
  </si>
  <si>
    <t>EBITDA</t>
  </si>
  <si>
    <t>Kunder (utgang)</t>
  </si>
  <si>
    <t>Kontanter (utgang)</t>
  </si>
  <si>
    <t>Utvikling (valgt scenario)</t>
  </si>
  <si>
    <t>Måned</t>
  </si>
  <si>
    <t>MRR</t>
  </si>
  <si>
    <t>Kontanter slutt</t>
  </si>
  <si>
    <t>Scenario: Konservativ</t>
  </si>
  <si>
    <t>Forutsetninger</t>
  </si>
  <si>
    <t>Kundeverving (drivere)</t>
  </si>
  <si>
    <t>Startkunder</t>
  </si>
  <si>
    <t>Modus nye kunder</t>
  </si>
  <si>
    <t>AUTO</t>
  </si>
  <si>
    <t>ARPA start (NOK/mnd)</t>
  </si>
  <si>
    <t>CAC metode</t>
  </si>
  <si>
    <t>KALIBRERT</t>
  </si>
  <si>
    <t>ARPA vekst (årlig)</t>
  </si>
  <si>
    <t>CAC (NOK per ny kunde)</t>
  </si>
  <si>
    <t>Churn (mnd)</t>
  </si>
  <si>
    <t>CAC forbedring (mnd)</t>
  </si>
  <si>
    <t>COGS (% av omsetning)</t>
  </si>
  <si>
    <t>Andel S&amp;M til acquisition</t>
  </si>
  <si>
    <t>Kontanter ved start (NOK)</t>
  </si>
  <si>
    <t>Min nye kunder (mnd)</t>
  </si>
  <si>
    <t>Baseline CAC snitt (12 mnd)</t>
  </si>
  <si>
    <t>Årlig oppsummering</t>
  </si>
  <si>
    <t>CAC skala (auto)</t>
  </si>
  <si>
    <t>Månedlige tall (36 måneder)</t>
  </si>
  <si>
    <t>Kunder start</t>
  </si>
  <si>
    <t>Nye kunder</t>
  </si>
  <si>
    <t>Churn (kunder)</t>
  </si>
  <si>
    <t>Kunder slutt</t>
  </si>
  <si>
    <t>ARPA</t>
  </si>
  <si>
    <t>COGS</t>
  </si>
  <si>
    <t>Bruttofortjeneste</t>
  </si>
  <si>
    <t>Lønn</t>
  </si>
  <si>
    <t>Salg/Marked</t>
  </si>
  <si>
    <t>Andre OPEX</t>
  </si>
  <si>
    <t>OPEX</t>
  </si>
  <si>
    <t>CapEx</t>
  </si>
  <si>
    <t>Netto cashflow</t>
  </si>
  <si>
    <t>Kontanter start</t>
  </si>
  <si>
    <t>Acq spend</t>
  </si>
  <si>
    <t>CAC baseline</t>
  </si>
  <si>
    <t>CAC effektiv</t>
  </si>
  <si>
    <t>Nye kunder (manuell)</t>
  </si>
  <si>
    <t>Scenario: Base</t>
  </si>
  <si>
    <t>Scenario: Aggressiv</t>
  </si>
  <si>
    <t>Finansmodell – 3 år (illustrativt arbeidseksempel)</t>
  </si>
  <si>
    <t>Hvordan bruke modellen:</t>
  </si>
  <si>
    <t>1) Gå til fanen 'Sammendrag' og velg scenario i celle B3.</t>
  </si>
  <si>
    <t>2) Se nøkkeltall per år, MRR-utvikling og likviditet.</t>
  </si>
  <si>
    <t>3) Detaljerte månedstall ligger i fanene 'Konservativ', 'Base' og 'Aggressiv'.</t>
  </si>
  <si>
    <t>Merk:</t>
  </si>
  <si>
    <t>• Tallene er fiktive og ment som mal/eksempel.</t>
  </si>
  <si>
    <t>• Alle beløp er i NOK.</t>
  </si>
  <si>
    <t>• Modellen er formelbasert: Endre forutsetninger (B4:B9) og inndata-planen i scenariobladene (kolonnene 'Nye kunder', 'Lønn', 'Salg/Marked', 'Andre OPEX' og 'CapEx') for å justere resultatene.</t>
  </si>
  <si>
    <t>• Kolonnene med MRR/omsetning, marginer, EBITDA og kontanter oppdateres automatisk basert på forutsetningene.</t>
  </si>
  <si>
    <t>Oppdatert kundeverving:</t>
  </si>
  <si>
    <t>• 'Nye kunder' beregnes nå automatisk fra Salg/Marked (kolonne L) og CAC-drivere (D3:E11).</t>
  </si>
  <si>
    <t>• Standard: Modus = AUTO og CAC metode = KALIBRERT (gir samme tall som baseline).</t>
  </si>
  <si>
    <t>• Juster CAC (E6), CAC forbedring (E7) og/eller Salg/Marked per måned for å se effekt.</t>
  </si>
  <si>
    <t>• Hvis du vil styre Nye kunder manuelt: sett Modus = MANUELL og rediger kolonnen 'Nye kunder (manuell)'.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</si>
</sst>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5E7EB"/>
      </patternFill>
    </fill>
    <fill>
      <patternFill patternType="solid">
        <fgColor rgb="FF0B1F3A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0" fillId="2" borderId="1" xfId="0" applyNumberFormat="1" applyFill="1" applyBorder="1"/>
    <xf numFmtId="164" fontId="0" fillId="2" borderId="1" xfId="0" applyNumberFormat="1" applyFill="1" applyBorder="1"/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7" fontId="0" fillId="0" borderId="1" xfId="0" applyNumberFormat="1" applyBorder="1" applyAlignment="1">
      <alignment horizontal="center" vertical="top"/>
    </xf>
    <xf numFmtId="3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activeCell="A21" sqref="A21"/>
    </sheetView>
  </sheetViews>
  <sheetFormatPr baseColWidth="10" defaultColWidth="8.88671875" defaultRowHeight="14.4" x14ac:dyDescent="0.3"/>
  <cols>
    <col min="1" max="1" width="168.88671875" customWidth="1"/>
  </cols>
  <sheetData>
    <row r="1" spans="1:1" ht="18" customHeight="1" x14ac:dyDescent="0.35">
      <c r="A1" s="1" t="s">
        <v>55</v>
      </c>
    </row>
    <row r="3" spans="1:1" x14ac:dyDescent="0.3">
      <c r="A3" s="2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8" spans="1:1" x14ac:dyDescent="0.3">
      <c r="A8" s="2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workbookViewId="0">
      <selection activeCell="G18" sqref="G18"/>
    </sheetView>
  </sheetViews>
  <sheetFormatPr baseColWidth="10" defaultColWidth="8.88671875" defaultRowHeight="14.4" x14ac:dyDescent="0.3"/>
  <cols>
    <col min="1" max="1" width="13.88671875" customWidth="1"/>
    <col min="2" max="3" width="16" customWidth="1"/>
    <col min="4" max="5" width="14" customWidth="1"/>
    <col min="6" max="6" width="14.6640625" customWidth="1"/>
  </cols>
  <sheetData>
    <row r="1" spans="1:6" ht="18" customHeight="1" x14ac:dyDescent="0.35">
      <c r="A1" s="1" t="s">
        <v>0</v>
      </c>
    </row>
    <row r="3" spans="1:6" x14ac:dyDescent="0.3">
      <c r="A3" s="2" t="s">
        <v>1</v>
      </c>
      <c r="B3" t="s">
        <v>2</v>
      </c>
    </row>
    <row r="5" spans="1:6" x14ac:dyDescent="0.3">
      <c r="A5" s="2" t="s">
        <v>3</v>
      </c>
    </row>
    <row r="6" spans="1:6" ht="31.2" customHeigh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3">
      <c r="A7" s="7">
        <v>2026</v>
      </c>
      <c r="B7" s="8">
        <f>IF($B$3="Konservativ",Konservativ!B13,IF($B$3="Base",Base!B13,Aggressiv!B13))</f>
        <v>2401198.8608497512</v>
      </c>
      <c r="C7" s="8">
        <f>IF($B$3="Konservativ",Konservativ!C13,IF($B$3="Base",Base!C13,Aggressiv!C13))</f>
        <v>4799287.2655542465</v>
      </c>
      <c r="D7" s="8">
        <f>IF($B$3="Konservativ",Konservativ!D13,IF($B$3="Base",Base!D13,Aggressiv!D13))</f>
        <v>-2486945.0024522189</v>
      </c>
      <c r="E7" s="9">
        <f>IF($B$3="Konservativ",Konservativ!E13,IF($B$3="Base",Base!E13,Aggressiv!E13))</f>
        <v>134.22395945390807</v>
      </c>
      <c r="F7" s="8">
        <f>IF($B$3="Konservativ",Konservativ!F13,IF($B$3="Base",Base!F13,Aggressiv!F13))</f>
        <v>5273054.9975477811</v>
      </c>
    </row>
    <row r="8" spans="1:6" x14ac:dyDescent="0.3">
      <c r="A8" s="7">
        <v>2027</v>
      </c>
      <c r="B8" s="8">
        <f>IF($B$3="Konservativ",Konservativ!B14,IF($B$3="Base",Base!B14,Aggressiv!B14))</f>
        <v>9552510.083410332</v>
      </c>
      <c r="C8" s="8">
        <f>IF($B$3="Konservativ",Konservativ!C14,IF($B$3="Base",Base!C14,Aggressiv!C14))</f>
        <v>14528422.491682805</v>
      </c>
      <c r="D8" s="8">
        <f>IF($B$3="Konservativ",Konservativ!D14,IF($B$3="Base",Base!D14,Aggressiv!D14))</f>
        <v>-383791.12659890752</v>
      </c>
      <c r="E8" s="9">
        <f>IF($B$3="Konservativ",Konservativ!E14,IF($B$3="Base",Base!E14,Aggressiv!E14))</f>
        <v>394.48867153873016</v>
      </c>
      <c r="F8" s="8">
        <f>IF($B$3="Konservativ",Konservativ!F14,IF($B$3="Base",Base!F14,Aggressiv!F14))</f>
        <v>4709263.8709488735</v>
      </c>
    </row>
    <row r="9" spans="1:6" x14ac:dyDescent="0.3">
      <c r="A9" s="7">
        <v>2028</v>
      </c>
      <c r="B9" s="8">
        <f>IF($B$3="Konservativ",Konservativ!B15,IF($B$3="Base",Base!B15,Aggressiv!B15))</f>
        <v>22625865.132783018</v>
      </c>
      <c r="C9" s="8">
        <f>IF($B$3="Konservativ",Konservativ!C15,IF($B$3="Base",Base!C15,Aggressiv!C15))</f>
        <v>30491624.95635049</v>
      </c>
      <c r="D9" s="8">
        <f>IF($B$3="Konservativ",Konservativ!D15,IF($B$3="Base",Base!D15,Aggressiv!D15))</f>
        <v>5960761.3168490557</v>
      </c>
      <c r="E9" s="9">
        <f>IF($B$3="Konservativ",Konservativ!E15,IF($B$3="Base",Base!E15,Aggressiv!E15))</f>
        <v>803.82113321930331</v>
      </c>
      <c r="F9" s="8">
        <f>IF($B$3="Konservativ",Konservativ!F15,IF($B$3="Base",Base!F15,Aggressiv!F15))</f>
        <v>10550025.18779793</v>
      </c>
    </row>
    <row r="11" spans="1:6" x14ac:dyDescent="0.3">
      <c r="A11" s="2" t="s">
        <v>10</v>
      </c>
    </row>
    <row r="12" spans="1:6" ht="28.05" customHeight="1" x14ac:dyDescent="0.3">
      <c r="A12" s="3" t="s">
        <v>11</v>
      </c>
      <c r="B12" s="3" t="s">
        <v>12</v>
      </c>
      <c r="C12" s="3" t="s">
        <v>13</v>
      </c>
    </row>
    <row r="13" spans="1:6" x14ac:dyDescent="0.3">
      <c r="A13" s="10">
        <f>IF($B$3="Konservativ",Konservativ!A20,IF($B$3="Base",Base!A20,Aggressiv!A20))</f>
        <v>46023</v>
      </c>
      <c r="B13" s="8">
        <f>IF($B$3="Konservativ",Konservativ!G20,IF($B$3="Base",Base!G20,Aggressiv!G20))</f>
        <v>45820</v>
      </c>
      <c r="C13" s="8">
        <f>IF($B$3="Konservativ",Konservativ!S20,IF($B$3="Base",Base!S20,Aggressiv!S20))</f>
        <v>7770321.5999999996</v>
      </c>
    </row>
    <row r="14" spans="1:6" x14ac:dyDescent="0.3">
      <c r="A14" s="10">
        <f>IF($B$3="Konservativ",Konservativ!A21,IF($B$3="Base",Base!A21,Aggressiv!A21))</f>
        <v>46054</v>
      </c>
      <c r="B14" s="8">
        <f>IF($B$3="Konservativ",Konservativ!G21,IF($B$3="Base",Base!G21,Aggressiv!G21))</f>
        <v>65364.409667725384</v>
      </c>
      <c r="C14" s="8">
        <f>IF($B$3="Konservativ",Konservativ!S21,IF($B$3="Base",Base!S21,Aggressiv!S21))</f>
        <v>7548742.2805075981</v>
      </c>
    </row>
    <row r="15" spans="1:6" x14ac:dyDescent="0.3">
      <c r="A15" s="10">
        <f>IF($B$3="Konservativ",Konservativ!A22,IF($B$3="Base",Base!A22,Aggressiv!A22))</f>
        <v>46082</v>
      </c>
      <c r="B15" s="8">
        <f>IF($B$3="Konservativ",Konservativ!G22,IF($B$3="Base",Base!G22,Aggressiv!G22))</f>
        <v>87529.679647887664</v>
      </c>
      <c r="C15" s="8">
        <f>IF($B$3="Konservativ",Konservativ!S22,IF($B$3="Base",Base!S22,Aggressiv!S22))</f>
        <v>7337568.3985977396</v>
      </c>
    </row>
    <row r="16" spans="1:6" x14ac:dyDescent="0.3">
      <c r="A16" s="10">
        <f>IF($B$3="Konservativ",Konservativ!A23,IF($B$3="Base",Base!A23,Aggressiv!A23))</f>
        <v>46113</v>
      </c>
      <c r="B16" s="8">
        <f>IF($B$3="Konservativ",Konservativ!G23,IF($B$3="Base",Base!G23,Aggressiv!G23))</f>
        <v>112284.22599536185</v>
      </c>
      <c r="C16" s="8">
        <f>IF($B$3="Konservativ",Konservativ!S23,IF($B$3="Base",Base!S23,Aggressiv!S23))</f>
        <v>7059078.5174736585</v>
      </c>
    </row>
    <row r="17" spans="1:3" x14ac:dyDescent="0.3">
      <c r="A17" s="10">
        <f>IF($B$3="Konservativ",Konservativ!A24,IF($B$3="Base",Base!A24,Aggressiv!A24))</f>
        <v>46143</v>
      </c>
      <c r="B17" s="8">
        <f>IF($B$3="Konservativ",Konservativ!G24,IF($B$3="Base",Base!G24,Aggressiv!G24))</f>
        <v>139597.0735915328</v>
      </c>
      <c r="C17" s="8">
        <f>IF($B$3="Konservativ",Konservativ!S24,IF($B$3="Base",Base!S24,Aggressiv!S24))</f>
        <v>6795523.9422342069</v>
      </c>
    </row>
    <row r="18" spans="1:3" x14ac:dyDescent="0.3">
      <c r="A18" s="10">
        <f>IF($B$3="Konservativ",Konservativ!A25,IF($B$3="Base",Base!A25,Aggressiv!A25))</f>
        <v>46174</v>
      </c>
      <c r="B18" s="8">
        <f>IF($B$3="Konservativ",Konservativ!G25,IF($B$3="Base",Base!G25,Aggressiv!G25))</f>
        <v>169437.84561488929</v>
      </c>
      <c r="C18" s="8">
        <f>IF($B$3="Konservativ",Konservativ!S25,IF($B$3="Base",Base!S25,Aggressiv!S25))</f>
        <v>6549229.2463753093</v>
      </c>
    </row>
    <row r="19" spans="1:3" x14ac:dyDescent="0.3">
      <c r="A19" s="10">
        <f>IF($B$3="Konservativ",Konservativ!A26,IF($B$3="Base",Base!A26,Aggressiv!A26))</f>
        <v>46204</v>
      </c>
      <c r="B19" s="8">
        <f>IF($B$3="Konservativ",Konservativ!G26,IF($B$3="Base",Base!G26,Aggressiv!G26))</f>
        <v>201776.75319729821</v>
      </c>
      <c r="C19" s="8">
        <f>IF($B$3="Konservativ",Konservativ!S26,IF($B$3="Base",Base!S26,Aggressiv!S26))</f>
        <v>6322192.7891889317</v>
      </c>
    </row>
    <row r="20" spans="1:3" x14ac:dyDescent="0.3">
      <c r="A20" s="10">
        <f>IF($B$3="Konservativ",Konservativ!A27,IF($B$3="Base",Base!A27,Aggressiv!A27))</f>
        <v>46235</v>
      </c>
      <c r="B20" s="8">
        <f>IF($B$3="Konservativ",Konservativ!G27,IF($B$3="Base",Base!G27,Aggressiv!G27))</f>
        <v>236584.58526269565</v>
      </c>
      <c r="C20" s="8">
        <f>IF($B$3="Konservativ",Konservativ!S27,IF($B$3="Base",Base!S27,Aggressiv!S27))</f>
        <v>6116787.2242201036</v>
      </c>
    </row>
    <row r="21" spans="1:3" x14ac:dyDescent="0.3">
      <c r="A21" s="10">
        <f>IF($B$3="Konservativ",Konservativ!A28,IF($B$3="Base",Base!A28,Aggressiv!A28))</f>
        <v>46266</v>
      </c>
      <c r="B21" s="8">
        <f>IF($B$3="Konservativ",Konservativ!G28,IF($B$3="Base",Base!G28,Aggressiv!G28))</f>
        <v>273832.69854498893</v>
      </c>
      <c r="C21" s="8">
        <f>IF($B$3="Konservativ",Konservativ!S28,IF($B$3="Base",Base!S28,Aggressiv!S28))</f>
        <v>5865059.9989396939</v>
      </c>
    </row>
    <row r="22" spans="1:3" x14ac:dyDescent="0.3">
      <c r="A22" s="10">
        <f>IF($B$3="Konservativ",Konservativ!A29,IF($B$3="Base",Base!A29,Aggressiv!A29))</f>
        <v>46296</v>
      </c>
      <c r="B22" s="8">
        <f>IF($B$3="Konservativ",Konservativ!G29,IF($B$3="Base",Base!G29,Aggressiv!G29))</f>
        <v>313493.0077820202</v>
      </c>
      <c r="C22" s="8">
        <f>IF($B$3="Konservativ",Konservativ!S29,IF($B$3="Base",Base!S29,Aggressiv!S29))</f>
        <v>5639133.8457878716</v>
      </c>
    </row>
    <row r="23" spans="1:3" x14ac:dyDescent="0.3">
      <c r="A23" s="10">
        <f>IF($B$3="Konservativ",Konservativ!A30,IF($B$3="Base",Base!A30,Aggressiv!A30))</f>
        <v>46327</v>
      </c>
      <c r="B23" s="8">
        <f>IF($B$3="Konservativ",Konservativ!G30,IF($B$3="Base",Base!G30,Aggressiv!G30))</f>
        <v>355537.97608249751</v>
      </c>
      <c r="C23" s="8">
        <f>IF($B$3="Konservativ",Konservativ!S30,IF($B$3="Base",Base!S30,Aggressiv!S30))</f>
        <v>5441107.2647404699</v>
      </c>
    </row>
    <row r="24" spans="1:3" x14ac:dyDescent="0.3">
      <c r="A24" s="10">
        <f>IF($B$3="Konservativ",Konservativ!A31,IF($B$3="Base",Base!A31,Aggressiv!A31))</f>
        <v>46357</v>
      </c>
      <c r="B24" s="8">
        <f>IF($B$3="Konservativ",Konservativ!G31,IF($B$3="Base",Base!G31,Aggressiv!G31))</f>
        <v>399940.60546285385</v>
      </c>
      <c r="C24" s="8">
        <f>IF($B$3="Konservativ",Konservativ!S31,IF($B$3="Base",Base!S31,Aggressiv!S31))</f>
        <v>5273054.9975477811</v>
      </c>
    </row>
    <row r="25" spans="1:3" x14ac:dyDescent="0.3">
      <c r="A25" s="10">
        <f>IF($B$3="Konservativ",Konservativ!A32,IF($B$3="Base",Base!A32,Aggressiv!A32))</f>
        <v>46388</v>
      </c>
      <c r="B25" s="8">
        <f>IF($B$3="Konservativ",Konservativ!G32,IF($B$3="Base",Base!G32,Aggressiv!G32))</f>
        <v>446674.42755104729</v>
      </c>
      <c r="C25" s="8">
        <f>IF($B$3="Konservativ",Konservativ!S32,IF($B$3="Base",Base!S32,Aggressiv!S32))</f>
        <v>5026128.4937927024</v>
      </c>
    </row>
    <row r="26" spans="1:3" x14ac:dyDescent="0.3">
      <c r="A26" s="10">
        <f>IF($B$3="Konservativ",Konservativ!A33,IF($B$3="Base",Base!A33,Aggressiv!A33))</f>
        <v>46419</v>
      </c>
      <c r="B26" s="8">
        <f>IF($B$3="Konservativ",Konservativ!G33,IF($B$3="Base",Base!G33,Aggressiv!G33))</f>
        <v>498707.86120217934</v>
      </c>
      <c r="C26" s="8">
        <f>IF($B$3="Konservativ",Konservativ!S33,IF($B$3="Base",Base!S33,Aggressiv!S33))</f>
        <v>4814491.4116506204</v>
      </c>
    </row>
    <row r="27" spans="1:3" x14ac:dyDescent="0.3">
      <c r="A27" s="10">
        <f>IF($B$3="Konservativ",Konservativ!A34,IF($B$3="Base",Base!A34,Aggressiv!A34))</f>
        <v>46447</v>
      </c>
      <c r="B27" s="8">
        <f>IF($B$3="Konservativ",Konservativ!G34,IF($B$3="Base",Base!G34,Aggressiv!G34))</f>
        <v>552975.83808311401</v>
      </c>
      <c r="C27" s="8">
        <f>IF($B$3="Konservativ",Konservativ!S34,IF($B$3="Base",Base!S34,Aggressiv!S34))</f>
        <v>4640210.1491637602</v>
      </c>
    </row>
    <row r="28" spans="1:3" x14ac:dyDescent="0.3">
      <c r="A28" s="10">
        <f>IF($B$3="Konservativ",Konservativ!A35,IF($B$3="Base",Base!A35,Aggressiv!A35))</f>
        <v>46478</v>
      </c>
      <c r="B28" s="8">
        <f>IF($B$3="Konservativ",Konservativ!G35,IF($B$3="Base",Base!G35,Aggressiv!G35))</f>
        <v>612463.39341204695</v>
      </c>
      <c r="C28" s="8">
        <f>IF($B$3="Konservativ",Konservativ!S35,IF($B$3="Base",Base!S35,Aggressiv!S35))</f>
        <v>4507877.9353663614</v>
      </c>
    </row>
    <row r="29" spans="1:3" x14ac:dyDescent="0.3">
      <c r="A29" s="10">
        <f>IF($B$3="Konservativ",Konservativ!A36,IF($B$3="Base",Base!A36,Aggressiv!A36))</f>
        <v>46508</v>
      </c>
      <c r="B29" s="8">
        <f>IF($B$3="Konservativ",Konservativ!G36,IF($B$3="Base",Base!G36,Aggressiv!G36))</f>
        <v>674092.24384031817</v>
      </c>
      <c r="C29" s="8">
        <f>IF($B$3="Konservativ",Konservativ!S36,IF($B$3="Base",Base!S36,Aggressiv!S36))</f>
        <v>4419279.1099458411</v>
      </c>
    </row>
    <row r="30" spans="1:3" x14ac:dyDescent="0.3">
      <c r="A30" s="10">
        <f>IF($B$3="Konservativ",Konservativ!A37,IF($B$3="Base",Base!A37,Aggressiv!A37))</f>
        <v>46539</v>
      </c>
      <c r="B30" s="8">
        <f>IF($B$3="Konservativ",Konservativ!G37,IF($B$3="Base",Base!G37,Aggressiv!G37))</f>
        <v>740864.05508225446</v>
      </c>
      <c r="C30" s="8">
        <f>IF($B$3="Konservativ",Konservativ!S37,IF($B$3="Base",Base!S37,Aggressiv!S37))</f>
        <v>4378939.4784182254</v>
      </c>
    </row>
    <row r="31" spans="1:3" x14ac:dyDescent="0.3">
      <c r="A31" s="10">
        <f>IF($B$3="Konservativ",Konservativ!A38,IF($B$3="Base",Base!A38,Aggressiv!A38))</f>
        <v>46569</v>
      </c>
      <c r="B31" s="8">
        <f>IF($B$3="Konservativ",Konservativ!G38,IF($B$3="Base",Base!G38,Aggressiv!G38))</f>
        <v>809687.19677586877</v>
      </c>
      <c r="C31" s="8">
        <f>IF($B$3="Konservativ",Konservativ!S38,IF($B$3="Base",Base!S38,Aggressiv!S38))</f>
        <v>4288764.2115809899</v>
      </c>
    </row>
    <row r="32" spans="1:3" x14ac:dyDescent="0.3">
      <c r="A32" s="10">
        <f>IF($B$3="Konservativ",Konservativ!A39,IF($B$3="Base",Base!A39,Aggressiv!A39))</f>
        <v>46600</v>
      </c>
      <c r="B32" s="8">
        <f>IF($B$3="Konservativ",Konservativ!G39,IF($B$3="Base",Base!G39,Aggressiv!G39))</f>
        <v>883579.98170356918</v>
      </c>
      <c r="C32" s="8">
        <f>IF($B$3="Konservativ",Konservativ!S39,IF($B$3="Base",Base!S39,Aggressiv!S39))</f>
        <v>4253114.595480131</v>
      </c>
    </row>
    <row r="33" spans="1:3" x14ac:dyDescent="0.3">
      <c r="A33" s="10">
        <f>IF($B$3="Konservativ",Konservativ!A40,IF($B$3="Base",Base!A40,Aggressiv!A40))</f>
        <v>46631</v>
      </c>
      <c r="B33" s="8">
        <f>IF($B$3="Konservativ",Konservativ!G40,IF($B$3="Base",Base!G40,Aggressiv!G40))</f>
        <v>959437.3021678126</v>
      </c>
      <c r="C33" s="8">
        <f>IF($B$3="Konservativ",Konservativ!S40,IF($B$3="Base",Base!S40,Aggressiv!S40))</f>
        <v>4273719.4213878065</v>
      </c>
    </row>
    <row r="34" spans="1:3" x14ac:dyDescent="0.3">
      <c r="A34" s="10">
        <f>IF($B$3="Konservativ",Konservativ!A41,IF($B$3="Base",Base!A41,Aggressiv!A41))</f>
        <v>46661</v>
      </c>
      <c r="B34" s="8">
        <f>IF($B$3="Konservativ",Konservativ!G41,IF($B$3="Base",Base!G41,Aggressiv!G41))</f>
        <v>1040294.1369594224</v>
      </c>
      <c r="C34" s="8">
        <f>IF($B$3="Konservativ",Konservativ!S41,IF($B$3="Base",Base!S41,Aggressiv!S41))</f>
        <v>4355078.2619120982</v>
      </c>
    </row>
    <row r="35" spans="1:3" x14ac:dyDescent="0.3">
      <c r="A35" s="10">
        <f>IF($B$3="Konservativ",Konservativ!A42,IF($B$3="Base",Base!A42,Aggressiv!A42))</f>
        <v>46692</v>
      </c>
      <c r="B35" s="8">
        <f>IF($B$3="Konservativ",Konservativ!G42,IF($B$3="Base",Base!G42,Aggressiv!G42))</f>
        <v>1123031.7723257989</v>
      </c>
      <c r="C35" s="8">
        <f>IF($B$3="Konservativ",Konservativ!S42,IF($B$3="Base",Base!S42,Aggressiv!S42))</f>
        <v>4498846.2215588009</v>
      </c>
    </row>
    <row r="36" spans="1:3" x14ac:dyDescent="0.3">
      <c r="A36" s="10">
        <f>IF($B$3="Konservativ",Konservativ!A43,IF($B$3="Base",Base!A43,Aggressiv!A43))</f>
        <v>46722</v>
      </c>
      <c r="B36" s="8">
        <f>IF($B$3="Konservativ",Konservativ!G43,IF($B$3="Base",Base!G43,Aggressiv!G43))</f>
        <v>1210701.8743069004</v>
      </c>
      <c r="C36" s="8">
        <f>IF($B$3="Konservativ",Konservativ!S43,IF($B$3="Base",Base!S43,Aggressiv!S43))</f>
        <v>4709263.8709488735</v>
      </c>
    </row>
    <row r="37" spans="1:3" x14ac:dyDescent="0.3">
      <c r="A37" s="10">
        <f>IF($B$3="Konservativ",Konservativ!A44,IF($B$3="Base",Base!A44,Aggressiv!A44))</f>
        <v>46753</v>
      </c>
      <c r="B37" s="8">
        <f>IF($B$3="Konservativ",Konservativ!G44,IF($B$3="Base",Base!G44,Aggressiv!G44))</f>
        <v>1300171.9959079197</v>
      </c>
      <c r="C37" s="8">
        <f>IF($B$3="Konservativ",Konservativ!S44,IF($B$3="Base",Base!S44,Aggressiv!S44))</f>
        <v>4828415.2273478433</v>
      </c>
    </row>
    <row r="38" spans="1:3" x14ac:dyDescent="0.3">
      <c r="A38" s="10">
        <f>IF($B$3="Konservativ",Konservativ!A45,IF($B$3="Base",Base!A45,Aggressiv!A45))</f>
        <v>46784</v>
      </c>
      <c r="B38" s="8">
        <f>IF($B$3="Konservativ",Konservativ!G45,IF($B$3="Base",Base!G45,Aggressiv!G45))</f>
        <v>1394510.5138934972</v>
      </c>
      <c r="C38" s="8">
        <f>IF($B$3="Konservativ",Konservativ!S45,IF($B$3="Base",Base!S45,Aggressiv!S45))</f>
        <v>5016484.4795741206</v>
      </c>
    </row>
    <row r="39" spans="1:3" x14ac:dyDescent="0.3">
      <c r="A39" s="10">
        <f>IF($B$3="Konservativ",Konservativ!A46,IF($B$3="Base",Base!A46,Aggressiv!A46))</f>
        <v>46813</v>
      </c>
      <c r="B39" s="8">
        <f>IF($B$3="Konservativ",Konservativ!G46,IF($B$3="Base",Base!G46,Aggressiv!G46))</f>
        <v>1490571.12230382</v>
      </c>
      <c r="C39" s="8">
        <f>IF($B$3="Konservativ",Konservativ!S46,IF($B$3="Base",Base!S46,Aggressiv!S46))</f>
        <v>5274987.0672014821</v>
      </c>
    </row>
    <row r="40" spans="1:3" x14ac:dyDescent="0.3">
      <c r="A40" s="10">
        <f>IF($B$3="Konservativ",Konservativ!A47,IF($B$3="Base",Base!A47,Aggressiv!A47))</f>
        <v>46844</v>
      </c>
      <c r="B40" s="8">
        <f>IF($B$3="Konservativ",Konservativ!G47,IF($B$3="Base",Base!G47,Aggressiv!G47))</f>
        <v>1591438.9342753878</v>
      </c>
      <c r="C40" s="8">
        <f>IF($B$3="Konservativ",Konservativ!S47,IF($B$3="Base",Base!S47,Aggressiv!S47))</f>
        <v>5608253.3293638229</v>
      </c>
    </row>
    <row r="41" spans="1:3" x14ac:dyDescent="0.3">
      <c r="A41" s="10">
        <f>IF($B$3="Konservativ",Konservativ!A48,IF($B$3="Base",Base!A48,Aggressiv!A48))</f>
        <v>46874</v>
      </c>
      <c r="B41" s="8">
        <f>IF($B$3="Konservativ",Konservativ!G48,IF($B$3="Base",Base!G48,Aggressiv!G48))</f>
        <v>1697060.7340255708</v>
      </c>
      <c r="C41" s="8">
        <f>IF($B$3="Konservativ",Konservativ!S48,IF($B$3="Base",Base!S48,Aggressiv!S48))</f>
        <v>6020366.7753063254</v>
      </c>
    </row>
    <row r="42" spans="1:3" x14ac:dyDescent="0.3">
      <c r="A42" s="10">
        <f>IF($B$3="Konservativ",Konservativ!A49,IF($B$3="Base",Base!A49,Aggressiv!A49))</f>
        <v>46905</v>
      </c>
      <c r="B42" s="8">
        <f>IF($B$3="Konservativ",Konservativ!G49,IF($B$3="Base",Base!G49,Aggressiv!G49))</f>
        <v>1807384.3563900643</v>
      </c>
      <c r="C42" s="8">
        <f>IF($B$3="Konservativ",Konservativ!S49,IF($B$3="Base",Base!S49,Aggressiv!S49))</f>
        <v>6515465.0089295823</v>
      </c>
    </row>
    <row r="43" spans="1:3" x14ac:dyDescent="0.3">
      <c r="A43" s="10">
        <f>IF($B$3="Konservativ",Konservativ!A50,IF($B$3="Base",Base!A50,Aggressiv!A50))</f>
        <v>46935</v>
      </c>
      <c r="B43" s="8">
        <f>IF($B$3="Konservativ",Konservativ!G50,IF($B$3="Base",Base!G50,Aggressiv!G50))</f>
        <v>1919236.2505984213</v>
      </c>
      <c r="C43" s="8">
        <f>IF($B$3="Konservativ",Konservativ!S50,IF($B$3="Base",Base!S50,Aggressiv!S50))</f>
        <v>6954792.9094561934</v>
      </c>
    </row>
    <row r="44" spans="1:3" x14ac:dyDescent="0.3">
      <c r="A44" s="10">
        <f>IF($B$3="Konservativ",Konservativ!A51,IF($B$3="Base",Base!A51,Aggressiv!A51))</f>
        <v>46966</v>
      </c>
      <c r="B44" s="8">
        <f>IF($B$3="Konservativ",Konservativ!G51,IF($B$3="Base",Base!G51,Aggressiv!G51))</f>
        <v>2035735.9178063395</v>
      </c>
      <c r="C44" s="8">
        <f>IF($B$3="Konservativ",Konservativ!S51,IF($B$3="Base",Base!S51,Aggressiv!S51))</f>
        <v>7482540.5171257723</v>
      </c>
    </row>
    <row r="45" spans="1:3" x14ac:dyDescent="0.3">
      <c r="A45" s="10">
        <f>IF($B$3="Konservativ",Konservativ!A52,IF($B$3="Base",Base!A52,Aggressiv!A52))</f>
        <v>46997</v>
      </c>
      <c r="B45" s="8">
        <f>IF($B$3="Konservativ",Konservativ!G52,IF($B$3="Base",Base!G52,Aggressiv!G52))</f>
        <v>2156833.388467744</v>
      </c>
      <c r="C45" s="8">
        <f>IF($B$3="Konservativ",Konservativ!S52,IF($B$3="Base",Base!S52,Aggressiv!S52))</f>
        <v>8102753.8989773868</v>
      </c>
    </row>
    <row r="46" spans="1:3" x14ac:dyDescent="0.3">
      <c r="A46" s="10">
        <f>IF($B$3="Konservativ",Konservativ!A53,IF($B$3="Base",Base!A53,Aggressiv!A53))</f>
        <v>47027</v>
      </c>
      <c r="B46" s="8">
        <f>IF($B$3="Konservativ",Konservativ!G53,IF($B$3="Base",Base!G53,Aggressiv!G53))</f>
        <v>2282479.6880419236</v>
      </c>
      <c r="C46" s="8">
        <f>IF($B$3="Konservativ",Konservativ!S53,IF($B$3="Base",Base!S53,Aggressiv!S53))</f>
        <v>8819536.0244542789</v>
      </c>
    </row>
    <row r="47" spans="1:3" x14ac:dyDescent="0.3">
      <c r="A47" s="10">
        <f>IF($B$3="Konservativ",Konservativ!A54,IF($B$3="Base",Base!A54,Aggressiv!A54))</f>
        <v>47058</v>
      </c>
      <c r="B47" s="8">
        <f>IF($B$3="Konservativ",Konservativ!G54,IF($B$3="Base",Base!G54,Aggressiv!G54))</f>
        <v>2409473.484709789</v>
      </c>
      <c r="C47" s="8">
        <f>IF($B$3="Konservativ",Konservativ!S54,IF($B$3="Base",Base!S54,Aggressiv!S54))</f>
        <v>9633972.6909988932</v>
      </c>
    </row>
    <row r="48" spans="1:3" x14ac:dyDescent="0.3">
      <c r="A48" s="10">
        <f>IF($B$3="Konservativ",Konservativ!A55,IF($B$3="Base",Base!A55,Aggressiv!A55))</f>
        <v>47088</v>
      </c>
      <c r="B48" s="8">
        <f>IF($B$3="Konservativ",Konservativ!G55,IF($B$3="Base",Base!G55,Aggressiv!G55))</f>
        <v>2540968.7463625409</v>
      </c>
      <c r="C48" s="8">
        <f>IF($B$3="Konservativ",Konservativ!S55,IF($B$3="Base",Base!S55,Aggressiv!S55))</f>
        <v>10550025.18779793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5"/>
  <sheetViews>
    <sheetView workbookViewId="0"/>
  </sheetViews>
  <sheetFormatPr baseColWidth="10" defaultColWidth="8.88671875" defaultRowHeight="14.4" x14ac:dyDescent="0.3"/>
  <cols>
    <col min="1" max="1" width="26.44140625" customWidth="1"/>
    <col min="2" max="2" width="12" customWidth="1"/>
    <col min="3" max="3" width="14" customWidth="1"/>
    <col min="4" max="4" width="28.33203125" customWidth="1"/>
    <col min="5" max="5" width="14.109375" customWidth="1"/>
    <col min="6" max="6" width="11.6640625" customWidth="1"/>
    <col min="7" max="7" width="14" customWidth="1"/>
    <col min="8" max="8" width="11" customWidth="1"/>
    <col min="9" max="9" width="10" customWidth="1"/>
    <col min="10" max="10" width="17.77734375" customWidth="1"/>
    <col min="11" max="11" width="10" customWidth="1"/>
    <col min="12" max="12" width="13" customWidth="1"/>
    <col min="13" max="13" width="12" customWidth="1"/>
    <col min="14" max="16" width="10" customWidth="1"/>
    <col min="17" max="17" width="16" customWidth="1"/>
    <col min="18" max="18" width="17" customWidth="1"/>
    <col min="19" max="23" width="14" customWidth="1"/>
  </cols>
  <sheetData>
    <row r="1" spans="1:6" ht="18" customHeight="1" x14ac:dyDescent="0.35">
      <c r="A1" s="1" t="s">
        <v>14</v>
      </c>
    </row>
    <row r="3" spans="1:6" x14ac:dyDescent="0.3">
      <c r="A3" s="2" t="s">
        <v>15</v>
      </c>
      <c r="D3" t="s">
        <v>16</v>
      </c>
    </row>
    <row r="4" spans="1:6" x14ac:dyDescent="0.3">
      <c r="A4" s="4" t="s">
        <v>17</v>
      </c>
      <c r="B4" s="11">
        <v>10</v>
      </c>
      <c r="D4" t="s">
        <v>18</v>
      </c>
      <c r="E4" s="18" t="s">
        <v>19</v>
      </c>
    </row>
    <row r="5" spans="1:6" x14ac:dyDescent="0.3">
      <c r="A5" s="4" t="s">
        <v>20</v>
      </c>
      <c r="B5" s="11">
        <v>2600</v>
      </c>
      <c r="D5" t="s">
        <v>21</v>
      </c>
      <c r="E5" s="18" t="s">
        <v>22</v>
      </c>
    </row>
    <row r="6" spans="1:6" x14ac:dyDescent="0.3">
      <c r="A6" s="4" t="s">
        <v>23</v>
      </c>
      <c r="B6" s="12">
        <v>0.02</v>
      </c>
      <c r="D6" t="s">
        <v>24</v>
      </c>
      <c r="E6" s="19">
        <v>9104.6974206349205</v>
      </c>
    </row>
    <row r="7" spans="1:6" x14ac:dyDescent="0.3">
      <c r="A7" s="4" t="s">
        <v>25</v>
      </c>
      <c r="B7" s="12">
        <v>0.03</v>
      </c>
      <c r="D7" t="s">
        <v>26</v>
      </c>
      <c r="E7" s="20">
        <v>0</v>
      </c>
    </row>
    <row r="8" spans="1:6" x14ac:dyDescent="0.3">
      <c r="A8" s="4" t="s">
        <v>27</v>
      </c>
      <c r="B8" s="12">
        <v>0.12</v>
      </c>
      <c r="D8" t="s">
        <v>28</v>
      </c>
      <c r="E8" s="20">
        <v>1</v>
      </c>
    </row>
    <row r="9" spans="1:6" x14ac:dyDescent="0.3">
      <c r="A9" s="4" t="s">
        <v>29</v>
      </c>
      <c r="B9" s="11">
        <v>8000000</v>
      </c>
      <c r="D9" t="s">
        <v>30</v>
      </c>
      <c r="E9" s="21">
        <v>0</v>
      </c>
    </row>
    <row r="10" spans="1:6" x14ac:dyDescent="0.3">
      <c r="D10" t="s">
        <v>31</v>
      </c>
      <c r="E10" s="19">
        <f>AVERAGE(U20:U31)</f>
        <v>9104.6974206349205</v>
      </c>
    </row>
    <row r="11" spans="1:6" x14ac:dyDescent="0.3">
      <c r="A11" s="2" t="s">
        <v>32</v>
      </c>
      <c r="D11" t="s">
        <v>33</v>
      </c>
      <c r="E11" s="22">
        <f>IF($E$5="KALIBRERT",IF($E$10&gt;0,$E$6/$E$10,1),1)</f>
        <v>1</v>
      </c>
    </row>
    <row r="12" spans="1:6" ht="38.4" customHeight="1" x14ac:dyDescent="0.3">
      <c r="A12" s="3" t="s">
        <v>4</v>
      </c>
      <c r="B12" s="3" t="s">
        <v>5</v>
      </c>
      <c r="C12" s="3" t="s">
        <v>6</v>
      </c>
      <c r="D12" s="3" t="s">
        <v>7</v>
      </c>
      <c r="E12" s="3" t="s">
        <v>8</v>
      </c>
      <c r="F12" s="3" t="s">
        <v>9</v>
      </c>
    </row>
    <row r="13" spans="1:6" x14ac:dyDescent="0.3">
      <c r="A13" s="7">
        <v>2026</v>
      </c>
      <c r="B13" s="8">
        <f>SUM(H20:H31)</f>
        <v>1389594.34307359</v>
      </c>
      <c r="C13" s="8">
        <f>G31*12</f>
        <v>2550047.2663801983</v>
      </c>
      <c r="D13" s="8">
        <f>SUM(O20:O31)</f>
        <v>-2764156.9780952409</v>
      </c>
      <c r="E13" s="9">
        <f>E31</f>
        <v>80.262031069770117</v>
      </c>
      <c r="F13" s="8">
        <f>S31</f>
        <v>4995843.0219047572</v>
      </c>
    </row>
    <row r="14" spans="1:6" x14ac:dyDescent="0.3">
      <c r="A14" s="7">
        <v>2027</v>
      </c>
      <c r="B14" s="8">
        <f>SUM(H32:H43)</f>
        <v>4906864.5788440108</v>
      </c>
      <c r="C14" s="8">
        <f>G43*12</f>
        <v>7381392.4058325123</v>
      </c>
      <c r="D14" s="8">
        <f>SUM(O32:O43)</f>
        <v>-3277959.1706172707</v>
      </c>
      <c r="E14" s="9">
        <f>E43</f>
        <v>227.77184365456452</v>
      </c>
      <c r="F14" s="8">
        <f>S43</f>
        <v>1537883.8512874865</v>
      </c>
    </row>
    <row r="15" spans="1:6" x14ac:dyDescent="0.3">
      <c r="A15" s="7">
        <v>2028</v>
      </c>
      <c r="B15" s="8">
        <f>SUM(H44:H55)</f>
        <v>11343953.618841488</v>
      </c>
      <c r="C15" s="8">
        <f>G55*12</f>
        <v>15144227.322319873</v>
      </c>
      <c r="D15" s="8">
        <f>SUM(O44:O55)</f>
        <v>-2050320.8154194907</v>
      </c>
      <c r="E15" s="9">
        <f>E55</f>
        <v>458.15105572591767</v>
      </c>
      <c r="F15" s="8">
        <f>S55</f>
        <v>-632436.9641320043</v>
      </c>
    </row>
    <row r="18" spans="1:23" x14ac:dyDescent="0.3">
      <c r="A18" s="2" t="s">
        <v>34</v>
      </c>
    </row>
    <row r="19" spans="1:23" ht="35.4" customHeight="1" x14ac:dyDescent="0.3">
      <c r="A19" s="3" t="s">
        <v>11</v>
      </c>
      <c r="B19" s="3" t="s">
        <v>35</v>
      </c>
      <c r="C19" s="3" t="s">
        <v>36</v>
      </c>
      <c r="D19" s="3" t="s">
        <v>37</v>
      </c>
      <c r="E19" s="3" t="s">
        <v>38</v>
      </c>
      <c r="F19" s="3" t="s">
        <v>39</v>
      </c>
      <c r="G19" s="3" t="s">
        <v>12</v>
      </c>
      <c r="H19" s="3" t="s">
        <v>5</v>
      </c>
      <c r="I19" s="3" t="s">
        <v>40</v>
      </c>
      <c r="J19" s="3" t="s">
        <v>41</v>
      </c>
      <c r="K19" s="3" t="s">
        <v>42</v>
      </c>
      <c r="L19" s="3" t="s">
        <v>43</v>
      </c>
      <c r="M19" s="3" t="s">
        <v>44</v>
      </c>
      <c r="N19" s="3" t="s">
        <v>45</v>
      </c>
      <c r="O19" s="3" t="s">
        <v>7</v>
      </c>
      <c r="P19" s="3" t="s">
        <v>46</v>
      </c>
      <c r="Q19" s="3" t="s">
        <v>47</v>
      </c>
      <c r="R19" s="3" t="s">
        <v>48</v>
      </c>
      <c r="S19" s="3" t="s">
        <v>13</v>
      </c>
      <c r="T19" s="3" t="s">
        <v>49</v>
      </c>
      <c r="U19" s="3" t="s">
        <v>50</v>
      </c>
      <c r="V19" s="3" t="s">
        <v>51</v>
      </c>
      <c r="W19" s="3" t="s">
        <v>52</v>
      </c>
    </row>
    <row r="20" spans="1:23" x14ac:dyDescent="0.3">
      <c r="A20" s="10">
        <v>46023</v>
      </c>
      <c r="B20" s="9">
        <f>$B$4</f>
        <v>10</v>
      </c>
      <c r="C20" s="9">
        <f t="shared" ref="C20:C55" si="0">IF($E$4="MANUELL",W20,IF(V20&gt;0,MAX($E$9,ROUND(T20/V20,0)),0))</f>
        <v>4</v>
      </c>
      <c r="D20" s="9">
        <f t="shared" ref="D20:D55" si="1">B20*$B$7</f>
        <v>0.3</v>
      </c>
      <c r="E20" s="9">
        <f t="shared" ref="E20:E55" si="2">B20+C20-D20</f>
        <v>13.7</v>
      </c>
      <c r="F20" s="8">
        <f>$B$5</f>
        <v>2600</v>
      </c>
      <c r="G20" s="8">
        <f t="shared" ref="G20:G55" si="3">E20*F20</f>
        <v>35620</v>
      </c>
      <c r="H20" s="8">
        <f t="shared" ref="H20:H55" si="4">G20</f>
        <v>35620</v>
      </c>
      <c r="I20" s="8">
        <f t="shared" ref="I20:I55" si="5">H20*$B$8</f>
        <v>4274.3999999999996</v>
      </c>
      <c r="J20" s="8">
        <f t="shared" ref="J20:J55" si="6">H20-I20</f>
        <v>31345.599999999999</v>
      </c>
      <c r="K20" s="8">
        <v>144000</v>
      </c>
      <c r="L20" s="8">
        <v>37500</v>
      </c>
      <c r="M20" s="8">
        <v>36000</v>
      </c>
      <c r="N20" s="8">
        <f t="shared" ref="N20:N55" si="7">K20+L20+M20</f>
        <v>217500</v>
      </c>
      <c r="O20" s="8">
        <f t="shared" ref="O20:O55" si="8">J20-N20</f>
        <v>-186154.4</v>
      </c>
      <c r="P20" s="8">
        <v>20000</v>
      </c>
      <c r="Q20" s="8">
        <f t="shared" ref="Q20:Q55" si="9">O20-P20</f>
        <v>-206154.4</v>
      </c>
      <c r="R20" s="8">
        <f>$B$9</f>
        <v>8000000</v>
      </c>
      <c r="S20" s="8">
        <f t="shared" ref="S20:S55" si="10">R20+Q20</f>
        <v>7793845.5999999996</v>
      </c>
      <c r="T20" s="8">
        <f t="shared" ref="T20:T55" si="11">L20*$E$8</f>
        <v>37500</v>
      </c>
      <c r="U20" s="8">
        <v>9375</v>
      </c>
      <c r="V20" s="8">
        <f t="shared" ref="V20:V55" si="12">IF($E$5="KONSTANT",$E$6*POWER(1+$E$7,ROW()-20),U20*$E$11*POWER(1+$E$7,ROW()-20))</f>
        <v>9375</v>
      </c>
      <c r="W20" s="8">
        <v>4</v>
      </c>
    </row>
    <row r="21" spans="1:23" x14ac:dyDescent="0.3">
      <c r="A21" s="10">
        <v>46054</v>
      </c>
      <c r="B21" s="9">
        <f t="shared" ref="B21:B55" si="13">E20</f>
        <v>13.7</v>
      </c>
      <c r="C21" s="9">
        <f t="shared" si="0"/>
        <v>5</v>
      </c>
      <c r="D21" s="9">
        <f t="shared" si="1"/>
        <v>0.41099999999999998</v>
      </c>
      <c r="E21" s="9">
        <f t="shared" si="2"/>
        <v>18.288999999999998</v>
      </c>
      <c r="F21" s="8">
        <f t="shared" ref="F21:F55" si="14">F20*POWER(1+$B$6,1/12)</f>
        <v>2604.2941113849924</v>
      </c>
      <c r="G21" s="8">
        <f t="shared" si="3"/>
        <v>47629.935003120125</v>
      </c>
      <c r="H21" s="8">
        <f t="shared" si="4"/>
        <v>47629.935003120125</v>
      </c>
      <c r="I21" s="8">
        <f t="shared" si="5"/>
        <v>5715.5922003744145</v>
      </c>
      <c r="J21" s="8">
        <f t="shared" si="6"/>
        <v>41914.342802745712</v>
      </c>
      <c r="K21" s="8">
        <v>144000</v>
      </c>
      <c r="L21" s="8">
        <v>42300</v>
      </c>
      <c r="M21" s="8">
        <v>38430</v>
      </c>
      <c r="N21" s="8">
        <f t="shared" si="7"/>
        <v>224730</v>
      </c>
      <c r="O21" s="8">
        <f t="shared" si="8"/>
        <v>-182815.6571972543</v>
      </c>
      <c r="P21" s="8">
        <v>20000</v>
      </c>
      <c r="Q21" s="8">
        <f t="shared" si="9"/>
        <v>-202815.6571972543</v>
      </c>
      <c r="R21" s="8">
        <f t="shared" ref="R21:R55" si="15">S20</f>
        <v>7793845.5999999996</v>
      </c>
      <c r="S21" s="8">
        <f t="shared" si="10"/>
        <v>7591029.9428027449</v>
      </c>
      <c r="T21" s="8">
        <f t="shared" si="11"/>
        <v>42300</v>
      </c>
      <c r="U21" s="8">
        <v>8460</v>
      </c>
      <c r="V21" s="8">
        <f t="shared" si="12"/>
        <v>8460</v>
      </c>
      <c r="W21" s="8">
        <v>5</v>
      </c>
    </row>
    <row r="22" spans="1:23" x14ac:dyDescent="0.3">
      <c r="A22" s="10">
        <v>46082</v>
      </c>
      <c r="B22" s="9">
        <f t="shared" si="13"/>
        <v>18.288999999999998</v>
      </c>
      <c r="C22" s="9">
        <f t="shared" si="0"/>
        <v>5</v>
      </c>
      <c r="D22" s="9">
        <f t="shared" si="1"/>
        <v>0.54866999999999988</v>
      </c>
      <c r="E22" s="9">
        <f t="shared" si="2"/>
        <v>22.740329999999997</v>
      </c>
      <c r="F22" s="8">
        <f t="shared" si="14"/>
        <v>2608.5953148440567</v>
      </c>
      <c r="G22" s="8">
        <f t="shared" si="3"/>
        <v>59320.318296007739</v>
      </c>
      <c r="H22" s="8">
        <f t="shared" si="4"/>
        <v>59320.318296007739</v>
      </c>
      <c r="I22" s="8">
        <f t="shared" si="5"/>
        <v>7118.4381955209283</v>
      </c>
      <c r="J22" s="8">
        <f t="shared" si="6"/>
        <v>52201.880100486815</v>
      </c>
      <c r="K22" s="8">
        <v>144000</v>
      </c>
      <c r="L22" s="8">
        <v>47025</v>
      </c>
      <c r="M22" s="8">
        <v>40950</v>
      </c>
      <c r="N22" s="8">
        <f t="shared" si="7"/>
        <v>231975</v>
      </c>
      <c r="O22" s="8">
        <f t="shared" si="8"/>
        <v>-179773.1198995132</v>
      </c>
      <c r="P22" s="8">
        <v>20000</v>
      </c>
      <c r="Q22" s="8">
        <f t="shared" si="9"/>
        <v>-199773.1198995132</v>
      </c>
      <c r="R22" s="8">
        <f t="shared" si="15"/>
        <v>7591029.9428027449</v>
      </c>
      <c r="S22" s="8">
        <f t="shared" si="10"/>
        <v>7391256.8229032317</v>
      </c>
      <c r="T22" s="8">
        <f t="shared" si="11"/>
        <v>47025</v>
      </c>
      <c r="U22" s="8">
        <v>9405</v>
      </c>
      <c r="V22" s="8">
        <f t="shared" si="12"/>
        <v>9405</v>
      </c>
      <c r="W22" s="8">
        <v>5</v>
      </c>
    </row>
    <row r="23" spans="1:23" x14ac:dyDescent="0.3">
      <c r="A23" s="10">
        <v>46113</v>
      </c>
      <c r="B23" s="9">
        <f t="shared" si="13"/>
        <v>22.740329999999997</v>
      </c>
      <c r="C23" s="9">
        <f t="shared" si="0"/>
        <v>6</v>
      </c>
      <c r="D23" s="9">
        <f t="shared" si="1"/>
        <v>0.68220989999999992</v>
      </c>
      <c r="E23" s="9">
        <f t="shared" si="2"/>
        <v>28.058120099999996</v>
      </c>
      <c r="F23" s="8">
        <f t="shared" si="14"/>
        <v>2612.9036220903299</v>
      </c>
      <c r="G23" s="8">
        <f t="shared" si="3"/>
        <v>73313.163638335478</v>
      </c>
      <c r="H23" s="8">
        <f t="shared" si="4"/>
        <v>73313.163638335478</v>
      </c>
      <c r="I23" s="8">
        <f t="shared" si="5"/>
        <v>8797.5796366002578</v>
      </c>
      <c r="J23" s="8">
        <f t="shared" si="6"/>
        <v>64515.584001735217</v>
      </c>
      <c r="K23" s="8">
        <v>216000</v>
      </c>
      <c r="L23" s="8">
        <v>51825</v>
      </c>
      <c r="M23" s="8">
        <v>43380</v>
      </c>
      <c r="N23" s="8">
        <f t="shared" si="7"/>
        <v>311205</v>
      </c>
      <c r="O23" s="8">
        <f t="shared" si="8"/>
        <v>-246689.4159982648</v>
      </c>
      <c r="P23" s="8">
        <v>20000</v>
      </c>
      <c r="Q23" s="8">
        <f t="shared" si="9"/>
        <v>-266689.4159982648</v>
      </c>
      <c r="R23" s="8">
        <f t="shared" si="15"/>
        <v>7391256.8229032317</v>
      </c>
      <c r="S23" s="8">
        <f t="shared" si="10"/>
        <v>7124567.4069049666</v>
      </c>
      <c r="T23" s="8">
        <f t="shared" si="11"/>
        <v>51825</v>
      </c>
      <c r="U23" s="8">
        <v>8637.5</v>
      </c>
      <c r="V23" s="8">
        <f t="shared" si="12"/>
        <v>8637.5</v>
      </c>
      <c r="W23" s="8">
        <v>6</v>
      </c>
    </row>
    <row r="24" spans="1:23" x14ac:dyDescent="0.3">
      <c r="A24" s="10">
        <v>46143</v>
      </c>
      <c r="B24" s="9">
        <f t="shared" si="13"/>
        <v>28.058120099999996</v>
      </c>
      <c r="C24" s="9">
        <f t="shared" si="0"/>
        <v>6</v>
      </c>
      <c r="D24" s="9">
        <f t="shared" si="1"/>
        <v>0.84174360299999984</v>
      </c>
      <c r="E24" s="9">
        <f t="shared" si="2"/>
        <v>33.216376496999999</v>
      </c>
      <c r="F24" s="8">
        <f t="shared" si="14"/>
        <v>2617.2190448562937</v>
      </c>
      <c r="G24" s="8">
        <f t="shared" si="3"/>
        <v>86934.533169065384</v>
      </c>
      <c r="H24" s="8">
        <f t="shared" si="4"/>
        <v>86934.533169065384</v>
      </c>
      <c r="I24" s="8">
        <f t="shared" si="5"/>
        <v>10432.143980287845</v>
      </c>
      <c r="J24" s="8">
        <f t="shared" si="6"/>
        <v>76502.389188777539</v>
      </c>
      <c r="K24" s="8">
        <v>216000</v>
      </c>
      <c r="L24" s="8">
        <v>56625</v>
      </c>
      <c r="M24" s="8">
        <v>45810</v>
      </c>
      <c r="N24" s="8">
        <f t="shared" si="7"/>
        <v>318435</v>
      </c>
      <c r="O24" s="8">
        <f t="shared" si="8"/>
        <v>-241932.61081122246</v>
      </c>
      <c r="P24" s="8">
        <v>20000</v>
      </c>
      <c r="Q24" s="8">
        <f t="shared" si="9"/>
        <v>-261932.61081122246</v>
      </c>
      <c r="R24" s="8">
        <f t="shared" si="15"/>
        <v>7124567.4069049666</v>
      </c>
      <c r="S24" s="8">
        <f t="shared" si="10"/>
        <v>6862634.7960937442</v>
      </c>
      <c r="T24" s="8">
        <f t="shared" si="11"/>
        <v>56625</v>
      </c>
      <c r="U24" s="8">
        <v>9437.5</v>
      </c>
      <c r="V24" s="8">
        <f t="shared" si="12"/>
        <v>9437.5</v>
      </c>
      <c r="W24" s="8">
        <v>6</v>
      </c>
    </row>
    <row r="25" spans="1:23" x14ac:dyDescent="0.3">
      <c r="A25" s="10">
        <v>46174</v>
      </c>
      <c r="B25" s="9">
        <f t="shared" si="13"/>
        <v>33.216376496999999</v>
      </c>
      <c r="C25" s="9">
        <f t="shared" si="0"/>
        <v>7</v>
      </c>
      <c r="D25" s="9">
        <f t="shared" si="1"/>
        <v>0.99649129490999988</v>
      </c>
      <c r="E25" s="9">
        <f t="shared" si="2"/>
        <v>39.219885202089998</v>
      </c>
      <c r="F25" s="8">
        <f t="shared" si="14"/>
        <v>2621.541594893808</v>
      </c>
      <c r="G25" s="8">
        <f t="shared" si="3"/>
        <v>102816.56040423908</v>
      </c>
      <c r="H25" s="8">
        <f t="shared" si="4"/>
        <v>102816.56040423908</v>
      </c>
      <c r="I25" s="8">
        <f t="shared" si="5"/>
        <v>12337.987248508689</v>
      </c>
      <c r="J25" s="8">
        <f t="shared" si="6"/>
        <v>90478.573155730381</v>
      </c>
      <c r="K25" s="8">
        <v>216000</v>
      </c>
      <c r="L25" s="8">
        <v>61350</v>
      </c>
      <c r="M25" s="8">
        <v>48240</v>
      </c>
      <c r="N25" s="8">
        <f t="shared" si="7"/>
        <v>325590</v>
      </c>
      <c r="O25" s="8">
        <f t="shared" si="8"/>
        <v>-235111.42684426962</v>
      </c>
      <c r="P25" s="8">
        <v>20000</v>
      </c>
      <c r="Q25" s="8">
        <f t="shared" si="9"/>
        <v>-255111.42684426962</v>
      </c>
      <c r="R25" s="8">
        <f t="shared" si="15"/>
        <v>6862634.7960937442</v>
      </c>
      <c r="S25" s="8">
        <f t="shared" si="10"/>
        <v>6607523.3692494743</v>
      </c>
      <c r="T25" s="8">
        <f t="shared" si="11"/>
        <v>61350</v>
      </c>
      <c r="U25" s="8">
        <v>8764.2857142857138</v>
      </c>
      <c r="V25" s="8">
        <f t="shared" si="12"/>
        <v>8764.2857142857138</v>
      </c>
      <c r="W25" s="8">
        <v>7</v>
      </c>
    </row>
    <row r="26" spans="1:23" x14ac:dyDescent="0.3">
      <c r="A26" s="10">
        <v>46204</v>
      </c>
      <c r="B26" s="9">
        <f t="shared" si="13"/>
        <v>39.219885202089998</v>
      </c>
      <c r="C26" s="9">
        <f t="shared" si="0"/>
        <v>7</v>
      </c>
      <c r="D26" s="9">
        <f t="shared" si="1"/>
        <v>1.1765965560626999</v>
      </c>
      <c r="E26" s="9">
        <f t="shared" si="2"/>
        <v>45.0432886460273</v>
      </c>
      <c r="F26" s="8">
        <f t="shared" si="14"/>
        <v>2625.8712839741406</v>
      </c>
      <c r="G26" s="8">
        <f t="shared" si="3"/>
        <v>118277.87819136154</v>
      </c>
      <c r="H26" s="8">
        <f t="shared" si="4"/>
        <v>118277.87819136154</v>
      </c>
      <c r="I26" s="8">
        <f t="shared" si="5"/>
        <v>14193.345382963384</v>
      </c>
      <c r="J26" s="8">
        <f t="shared" si="6"/>
        <v>104084.53280839816</v>
      </c>
      <c r="K26" s="8">
        <v>216000</v>
      </c>
      <c r="L26" s="8">
        <v>66150</v>
      </c>
      <c r="M26" s="8">
        <v>50760</v>
      </c>
      <c r="N26" s="8">
        <f t="shared" si="7"/>
        <v>332910</v>
      </c>
      <c r="O26" s="8">
        <f t="shared" si="8"/>
        <v>-228825.46719160184</v>
      </c>
      <c r="P26" s="8">
        <v>20000</v>
      </c>
      <c r="Q26" s="8">
        <f t="shared" si="9"/>
        <v>-248825.46719160184</v>
      </c>
      <c r="R26" s="8">
        <f t="shared" si="15"/>
        <v>6607523.3692494743</v>
      </c>
      <c r="S26" s="8">
        <f t="shared" si="10"/>
        <v>6358697.9020578722</v>
      </c>
      <c r="T26" s="8">
        <f t="shared" si="11"/>
        <v>66150</v>
      </c>
      <c r="U26" s="8">
        <v>9450</v>
      </c>
      <c r="V26" s="8">
        <f t="shared" si="12"/>
        <v>9450</v>
      </c>
      <c r="W26" s="8">
        <v>7</v>
      </c>
    </row>
    <row r="27" spans="1:23" x14ac:dyDescent="0.3">
      <c r="A27" s="10">
        <v>46235</v>
      </c>
      <c r="B27" s="9">
        <f t="shared" si="13"/>
        <v>45.0432886460273</v>
      </c>
      <c r="C27" s="9">
        <f t="shared" si="0"/>
        <v>8</v>
      </c>
      <c r="D27" s="9">
        <f t="shared" si="1"/>
        <v>1.3512986593808189</v>
      </c>
      <c r="E27" s="9">
        <f t="shared" si="2"/>
        <v>51.691989986646483</v>
      </c>
      <c r="F27" s="8">
        <f t="shared" si="14"/>
        <v>2630.2081238880014</v>
      </c>
      <c r="G27" s="8">
        <f t="shared" si="3"/>
        <v>135960.69200281479</v>
      </c>
      <c r="H27" s="8">
        <f t="shared" si="4"/>
        <v>135960.69200281479</v>
      </c>
      <c r="I27" s="8">
        <f t="shared" si="5"/>
        <v>16315.283040337774</v>
      </c>
      <c r="J27" s="8">
        <f t="shared" si="6"/>
        <v>119645.40896247701</v>
      </c>
      <c r="K27" s="8">
        <v>216000</v>
      </c>
      <c r="L27" s="8">
        <v>70875</v>
      </c>
      <c r="M27" s="8">
        <v>53190</v>
      </c>
      <c r="N27" s="8">
        <f t="shared" si="7"/>
        <v>340065</v>
      </c>
      <c r="O27" s="8">
        <f t="shared" si="8"/>
        <v>-220419.591037523</v>
      </c>
      <c r="P27" s="8">
        <v>20000</v>
      </c>
      <c r="Q27" s="8">
        <f t="shared" si="9"/>
        <v>-240419.591037523</v>
      </c>
      <c r="R27" s="8">
        <f t="shared" si="15"/>
        <v>6358697.9020578722</v>
      </c>
      <c r="S27" s="8">
        <f t="shared" si="10"/>
        <v>6118278.3110203492</v>
      </c>
      <c r="T27" s="8">
        <f t="shared" si="11"/>
        <v>70875</v>
      </c>
      <c r="U27" s="8">
        <v>8859.375</v>
      </c>
      <c r="V27" s="8">
        <f t="shared" si="12"/>
        <v>8859.375</v>
      </c>
      <c r="W27" s="8">
        <v>8</v>
      </c>
    </row>
    <row r="28" spans="1:23" x14ac:dyDescent="0.3">
      <c r="A28" s="10">
        <v>46266</v>
      </c>
      <c r="B28" s="9">
        <f t="shared" si="13"/>
        <v>51.691989986646483</v>
      </c>
      <c r="C28" s="9">
        <f t="shared" si="0"/>
        <v>8</v>
      </c>
      <c r="D28" s="9">
        <f t="shared" si="1"/>
        <v>1.5507596995993944</v>
      </c>
      <c r="E28" s="9">
        <f t="shared" si="2"/>
        <v>58.141230287047087</v>
      </c>
      <c r="F28" s="8">
        <f t="shared" si="14"/>
        <v>2634.5521264455733</v>
      </c>
      <c r="G28" s="8">
        <f t="shared" si="3"/>
        <v>153176.10188690168</v>
      </c>
      <c r="H28" s="8">
        <f t="shared" si="4"/>
        <v>153176.10188690168</v>
      </c>
      <c r="I28" s="8">
        <f t="shared" si="5"/>
        <v>18381.132226428203</v>
      </c>
      <c r="J28" s="8">
        <f t="shared" si="6"/>
        <v>134794.96966047349</v>
      </c>
      <c r="K28" s="8">
        <v>279000</v>
      </c>
      <c r="L28" s="8">
        <v>75675</v>
      </c>
      <c r="M28" s="8">
        <v>55620</v>
      </c>
      <c r="N28" s="8">
        <f t="shared" si="7"/>
        <v>410295</v>
      </c>
      <c r="O28" s="8">
        <f t="shared" si="8"/>
        <v>-275500.03033952648</v>
      </c>
      <c r="P28" s="8">
        <v>20000</v>
      </c>
      <c r="Q28" s="8">
        <f t="shared" si="9"/>
        <v>-295500.03033952648</v>
      </c>
      <c r="R28" s="8">
        <f t="shared" si="15"/>
        <v>6118278.3110203492</v>
      </c>
      <c r="S28" s="8">
        <f t="shared" si="10"/>
        <v>5822778.2806808222</v>
      </c>
      <c r="T28" s="8">
        <f t="shared" si="11"/>
        <v>75675</v>
      </c>
      <c r="U28" s="8">
        <v>9459.375</v>
      </c>
      <c r="V28" s="8">
        <f t="shared" si="12"/>
        <v>9459.375</v>
      </c>
      <c r="W28" s="8">
        <v>8</v>
      </c>
    </row>
    <row r="29" spans="1:23" x14ac:dyDescent="0.3">
      <c r="A29" s="10">
        <v>46296</v>
      </c>
      <c r="B29" s="9">
        <f t="shared" si="13"/>
        <v>58.141230287047087</v>
      </c>
      <c r="C29" s="9">
        <f t="shared" si="0"/>
        <v>9</v>
      </c>
      <c r="D29" s="9">
        <f t="shared" si="1"/>
        <v>1.7442369086114125</v>
      </c>
      <c r="E29" s="9">
        <f t="shared" si="2"/>
        <v>65.396993378435667</v>
      </c>
      <c r="F29" s="8">
        <f t="shared" si="14"/>
        <v>2638.9033034765448</v>
      </c>
      <c r="G29" s="8">
        <f t="shared" si="3"/>
        <v>172576.34186378762</v>
      </c>
      <c r="H29" s="8">
        <f t="shared" si="4"/>
        <v>172576.34186378762</v>
      </c>
      <c r="I29" s="8">
        <f t="shared" si="5"/>
        <v>20709.161023654513</v>
      </c>
      <c r="J29" s="8">
        <f t="shared" si="6"/>
        <v>151867.18084013311</v>
      </c>
      <c r="K29" s="8">
        <v>279000</v>
      </c>
      <c r="L29" s="8">
        <v>80475</v>
      </c>
      <c r="M29" s="8">
        <v>58050</v>
      </c>
      <c r="N29" s="8">
        <f t="shared" si="7"/>
        <v>417525</v>
      </c>
      <c r="O29" s="8">
        <f t="shared" si="8"/>
        <v>-265657.81915986689</v>
      </c>
      <c r="P29" s="8">
        <v>20000</v>
      </c>
      <c r="Q29" s="8">
        <f t="shared" si="9"/>
        <v>-285657.81915986689</v>
      </c>
      <c r="R29" s="8">
        <f t="shared" si="15"/>
        <v>5822778.2806808222</v>
      </c>
      <c r="S29" s="8">
        <f t="shared" si="10"/>
        <v>5537120.461520955</v>
      </c>
      <c r="T29" s="8">
        <f t="shared" si="11"/>
        <v>80475</v>
      </c>
      <c r="U29" s="8">
        <v>8941.6666666666661</v>
      </c>
      <c r="V29" s="8">
        <f t="shared" si="12"/>
        <v>8941.6666666666661</v>
      </c>
      <c r="W29" s="8">
        <v>9</v>
      </c>
    </row>
    <row r="30" spans="1:23" x14ac:dyDescent="0.3">
      <c r="A30" s="10">
        <v>46327</v>
      </c>
      <c r="B30" s="9">
        <f t="shared" si="13"/>
        <v>65.396993378435667</v>
      </c>
      <c r="C30" s="9">
        <f t="shared" si="0"/>
        <v>9</v>
      </c>
      <c r="D30" s="9">
        <f t="shared" si="1"/>
        <v>1.96190980135307</v>
      </c>
      <c r="E30" s="9">
        <f t="shared" si="2"/>
        <v>72.435083577082594</v>
      </c>
      <c r="F30" s="8">
        <f t="shared" si="14"/>
        <v>2643.2616668301421</v>
      </c>
      <c r="G30" s="8">
        <f t="shared" si="3"/>
        <v>191464.87975293997</v>
      </c>
      <c r="H30" s="8">
        <f t="shared" si="4"/>
        <v>191464.87975293997</v>
      </c>
      <c r="I30" s="8">
        <f t="shared" si="5"/>
        <v>22975.785570352797</v>
      </c>
      <c r="J30" s="8">
        <f t="shared" si="6"/>
        <v>168489.09418258717</v>
      </c>
      <c r="K30" s="8">
        <v>279000</v>
      </c>
      <c r="L30" s="8">
        <v>85200</v>
      </c>
      <c r="M30" s="8">
        <v>60570</v>
      </c>
      <c r="N30" s="8">
        <f t="shared" si="7"/>
        <v>424770</v>
      </c>
      <c r="O30" s="8">
        <f t="shared" si="8"/>
        <v>-256280.90581741283</v>
      </c>
      <c r="P30" s="8">
        <v>20000</v>
      </c>
      <c r="Q30" s="8">
        <f t="shared" si="9"/>
        <v>-276280.90581741283</v>
      </c>
      <c r="R30" s="8">
        <f t="shared" si="15"/>
        <v>5537120.461520955</v>
      </c>
      <c r="S30" s="8">
        <f t="shared" si="10"/>
        <v>5260839.5557035422</v>
      </c>
      <c r="T30" s="8">
        <f t="shared" si="11"/>
        <v>85200</v>
      </c>
      <c r="U30" s="8">
        <v>9466.6666666666661</v>
      </c>
      <c r="V30" s="8">
        <f t="shared" si="12"/>
        <v>9466.6666666666661</v>
      </c>
      <c r="W30" s="8">
        <v>9</v>
      </c>
    </row>
    <row r="31" spans="1:23" x14ac:dyDescent="0.3">
      <c r="A31" s="10">
        <v>46357</v>
      </c>
      <c r="B31" s="9">
        <f t="shared" si="13"/>
        <v>72.435083577082594</v>
      </c>
      <c r="C31" s="9">
        <f t="shared" si="0"/>
        <v>10</v>
      </c>
      <c r="D31" s="9">
        <f t="shared" si="1"/>
        <v>2.1730525073124776</v>
      </c>
      <c r="E31" s="9">
        <f t="shared" si="2"/>
        <v>80.262031069770117</v>
      </c>
      <c r="F31" s="8">
        <f t="shared" si="14"/>
        <v>2647.6272283751614</v>
      </c>
      <c r="G31" s="8">
        <f t="shared" si="3"/>
        <v>212503.93886501653</v>
      </c>
      <c r="H31" s="8">
        <f t="shared" si="4"/>
        <v>212503.93886501653</v>
      </c>
      <c r="I31" s="8">
        <f t="shared" si="5"/>
        <v>25500.472663801982</v>
      </c>
      <c r="J31" s="8">
        <f t="shared" si="6"/>
        <v>187003.46620121456</v>
      </c>
      <c r="K31" s="8">
        <v>279000</v>
      </c>
      <c r="L31" s="8">
        <v>90000</v>
      </c>
      <c r="M31" s="8">
        <v>63000</v>
      </c>
      <c r="N31" s="8">
        <f t="shared" si="7"/>
        <v>432000</v>
      </c>
      <c r="O31" s="8">
        <f t="shared" si="8"/>
        <v>-244996.53379878544</v>
      </c>
      <c r="P31" s="8">
        <v>20000</v>
      </c>
      <c r="Q31" s="8">
        <f t="shared" si="9"/>
        <v>-264996.53379878541</v>
      </c>
      <c r="R31" s="8">
        <f t="shared" si="15"/>
        <v>5260839.5557035422</v>
      </c>
      <c r="S31" s="8">
        <f t="shared" si="10"/>
        <v>4995843.0219047572</v>
      </c>
      <c r="T31" s="8">
        <f t="shared" si="11"/>
        <v>90000</v>
      </c>
      <c r="U31" s="8">
        <v>9000</v>
      </c>
      <c r="V31" s="8">
        <f t="shared" si="12"/>
        <v>9000</v>
      </c>
      <c r="W31" s="8">
        <v>10</v>
      </c>
    </row>
    <row r="32" spans="1:23" x14ac:dyDescent="0.3">
      <c r="A32" s="10">
        <v>46388</v>
      </c>
      <c r="B32" s="9">
        <f t="shared" si="13"/>
        <v>80.262031069770117</v>
      </c>
      <c r="C32" s="9">
        <f t="shared" si="0"/>
        <v>11</v>
      </c>
      <c r="D32" s="9">
        <f t="shared" si="1"/>
        <v>2.4078609320931035</v>
      </c>
      <c r="E32" s="9">
        <f t="shared" si="2"/>
        <v>88.854170137677016</v>
      </c>
      <c r="F32" s="8">
        <f t="shared" si="14"/>
        <v>2652.0000000000005</v>
      </c>
      <c r="G32" s="8">
        <f t="shared" si="3"/>
        <v>235641.25920511948</v>
      </c>
      <c r="H32" s="8">
        <f t="shared" si="4"/>
        <v>235641.25920511948</v>
      </c>
      <c r="I32" s="8">
        <f t="shared" si="5"/>
        <v>28276.951104614338</v>
      </c>
      <c r="J32" s="8">
        <f t="shared" si="6"/>
        <v>207364.30810050515</v>
      </c>
      <c r="K32" s="8">
        <v>378000</v>
      </c>
      <c r="L32" s="8">
        <v>97500</v>
      </c>
      <c r="M32" s="8">
        <v>67500</v>
      </c>
      <c r="N32" s="8">
        <f t="shared" si="7"/>
        <v>543000</v>
      </c>
      <c r="O32" s="8">
        <f t="shared" si="8"/>
        <v>-335635.69189949485</v>
      </c>
      <c r="P32" s="8">
        <v>15000</v>
      </c>
      <c r="Q32" s="8">
        <f t="shared" si="9"/>
        <v>-350635.69189949485</v>
      </c>
      <c r="R32" s="8">
        <f t="shared" si="15"/>
        <v>4995843.0219047572</v>
      </c>
      <c r="S32" s="8">
        <f t="shared" si="10"/>
        <v>4645207.330005262</v>
      </c>
      <c r="T32" s="8">
        <f t="shared" si="11"/>
        <v>97500</v>
      </c>
      <c r="U32" s="8">
        <v>8863.636363636364</v>
      </c>
      <c r="V32" s="8">
        <f t="shared" si="12"/>
        <v>8863.636363636364</v>
      </c>
      <c r="W32" s="8">
        <v>11</v>
      </c>
    </row>
    <row r="33" spans="1:23" x14ac:dyDescent="0.3">
      <c r="A33" s="10">
        <v>46419</v>
      </c>
      <c r="B33" s="9">
        <f t="shared" si="13"/>
        <v>88.854170137677016</v>
      </c>
      <c r="C33" s="9">
        <f t="shared" si="0"/>
        <v>12</v>
      </c>
      <c r="D33" s="9">
        <f t="shared" si="1"/>
        <v>2.6656251041303105</v>
      </c>
      <c r="E33" s="9">
        <f t="shared" si="2"/>
        <v>98.188545033546703</v>
      </c>
      <c r="F33" s="8">
        <f t="shared" si="14"/>
        <v>2656.3799936126929</v>
      </c>
      <c r="G33" s="8">
        <f t="shared" si="3"/>
        <v>260826.08662905241</v>
      </c>
      <c r="H33" s="8">
        <f t="shared" si="4"/>
        <v>260826.08662905241</v>
      </c>
      <c r="I33" s="8">
        <f t="shared" si="5"/>
        <v>31299.130395486289</v>
      </c>
      <c r="J33" s="8">
        <f t="shared" si="6"/>
        <v>229526.95623356613</v>
      </c>
      <c r="K33" s="8">
        <v>378000</v>
      </c>
      <c r="L33" s="8">
        <v>103650</v>
      </c>
      <c r="M33" s="8">
        <v>69570</v>
      </c>
      <c r="N33" s="8">
        <f t="shared" si="7"/>
        <v>551220</v>
      </c>
      <c r="O33" s="8">
        <f t="shared" si="8"/>
        <v>-321693.04376643384</v>
      </c>
      <c r="P33" s="8">
        <v>15000</v>
      </c>
      <c r="Q33" s="8">
        <f t="shared" si="9"/>
        <v>-336693.04376643384</v>
      </c>
      <c r="R33" s="8">
        <f t="shared" si="15"/>
        <v>4645207.330005262</v>
      </c>
      <c r="S33" s="8">
        <f t="shared" si="10"/>
        <v>4308514.2862388287</v>
      </c>
      <c r="T33" s="8">
        <f t="shared" si="11"/>
        <v>103650</v>
      </c>
      <c r="U33" s="8">
        <v>8637.5</v>
      </c>
      <c r="V33" s="8">
        <f t="shared" si="12"/>
        <v>8637.5</v>
      </c>
      <c r="W33" s="8">
        <v>12</v>
      </c>
    </row>
    <row r="34" spans="1:23" x14ac:dyDescent="0.3">
      <c r="A34" s="10">
        <v>46447</v>
      </c>
      <c r="B34" s="9">
        <f t="shared" si="13"/>
        <v>98.188545033546703</v>
      </c>
      <c r="C34" s="9">
        <f t="shared" si="0"/>
        <v>13</v>
      </c>
      <c r="D34" s="9">
        <f t="shared" si="1"/>
        <v>2.9456563510064009</v>
      </c>
      <c r="E34" s="9">
        <f t="shared" si="2"/>
        <v>108.2428886825403</v>
      </c>
      <c r="F34" s="8">
        <f t="shared" si="14"/>
        <v>2660.7672211409385</v>
      </c>
      <c r="G34" s="8">
        <f t="shared" si="3"/>
        <v>288009.1301281107</v>
      </c>
      <c r="H34" s="8">
        <f t="shared" si="4"/>
        <v>288009.1301281107</v>
      </c>
      <c r="I34" s="8">
        <f t="shared" si="5"/>
        <v>34561.095615373284</v>
      </c>
      <c r="J34" s="8">
        <f t="shared" si="6"/>
        <v>253448.03451273742</v>
      </c>
      <c r="K34" s="8">
        <v>378000</v>
      </c>
      <c r="L34" s="8">
        <v>109800</v>
      </c>
      <c r="M34" s="8">
        <v>71550</v>
      </c>
      <c r="N34" s="8">
        <f t="shared" si="7"/>
        <v>559350</v>
      </c>
      <c r="O34" s="8">
        <f t="shared" si="8"/>
        <v>-305901.96548726258</v>
      </c>
      <c r="P34" s="8">
        <v>15000</v>
      </c>
      <c r="Q34" s="8">
        <f t="shared" si="9"/>
        <v>-320901.96548726258</v>
      </c>
      <c r="R34" s="8">
        <f t="shared" si="15"/>
        <v>4308514.2862388287</v>
      </c>
      <c r="S34" s="8">
        <f t="shared" si="10"/>
        <v>3987612.320751566</v>
      </c>
      <c r="T34" s="8">
        <f t="shared" si="11"/>
        <v>109800</v>
      </c>
      <c r="U34" s="8">
        <v>8446.1538461538457</v>
      </c>
      <c r="V34" s="8">
        <f t="shared" si="12"/>
        <v>8446.1538461538457</v>
      </c>
      <c r="W34" s="8">
        <v>13</v>
      </c>
    </row>
    <row r="35" spans="1:23" x14ac:dyDescent="0.3">
      <c r="A35" s="10">
        <v>46478</v>
      </c>
      <c r="B35" s="9">
        <f t="shared" si="13"/>
        <v>108.2428886825403</v>
      </c>
      <c r="C35" s="9">
        <f t="shared" si="0"/>
        <v>14</v>
      </c>
      <c r="D35" s="9">
        <f t="shared" si="1"/>
        <v>3.2472866604762087</v>
      </c>
      <c r="E35" s="9">
        <f t="shared" si="2"/>
        <v>118.99560202206409</v>
      </c>
      <c r="F35" s="8">
        <f t="shared" si="14"/>
        <v>2665.1616945321371</v>
      </c>
      <c r="G35" s="8">
        <f t="shared" si="3"/>
        <v>317142.52032699611</v>
      </c>
      <c r="H35" s="8">
        <f t="shared" si="4"/>
        <v>317142.52032699611</v>
      </c>
      <c r="I35" s="8">
        <f t="shared" si="5"/>
        <v>38057.102439239534</v>
      </c>
      <c r="J35" s="8">
        <f t="shared" si="6"/>
        <v>279085.4178877566</v>
      </c>
      <c r="K35" s="8">
        <v>378000</v>
      </c>
      <c r="L35" s="8">
        <v>115875</v>
      </c>
      <c r="M35" s="8">
        <v>73620</v>
      </c>
      <c r="N35" s="8">
        <f t="shared" si="7"/>
        <v>567495</v>
      </c>
      <c r="O35" s="8">
        <f t="shared" si="8"/>
        <v>-288409.5821122434</v>
      </c>
      <c r="P35" s="8">
        <v>15000</v>
      </c>
      <c r="Q35" s="8">
        <f t="shared" si="9"/>
        <v>-303409.5821122434</v>
      </c>
      <c r="R35" s="8">
        <f t="shared" si="15"/>
        <v>3987612.320751566</v>
      </c>
      <c r="S35" s="8">
        <f t="shared" si="10"/>
        <v>3684202.7386393226</v>
      </c>
      <c r="T35" s="8">
        <f t="shared" si="11"/>
        <v>115875</v>
      </c>
      <c r="U35" s="8">
        <v>8276.7857142857138</v>
      </c>
      <c r="V35" s="8">
        <f t="shared" si="12"/>
        <v>8276.7857142857138</v>
      </c>
      <c r="W35" s="8">
        <v>14</v>
      </c>
    </row>
    <row r="36" spans="1:23" x14ac:dyDescent="0.3">
      <c r="A36" s="10">
        <v>46508</v>
      </c>
      <c r="B36" s="9">
        <f t="shared" si="13"/>
        <v>118.99560202206409</v>
      </c>
      <c r="C36" s="9">
        <f t="shared" si="0"/>
        <v>15</v>
      </c>
      <c r="D36" s="9">
        <f t="shared" si="1"/>
        <v>3.5698680606619226</v>
      </c>
      <c r="E36" s="9">
        <f t="shared" si="2"/>
        <v>130.42573396140216</v>
      </c>
      <c r="F36" s="8">
        <f t="shared" si="14"/>
        <v>2669.5634257534202</v>
      </c>
      <c r="G36" s="8">
        <f t="shared" si="3"/>
        <v>348179.76916040498</v>
      </c>
      <c r="H36" s="8">
        <f t="shared" si="4"/>
        <v>348179.76916040498</v>
      </c>
      <c r="I36" s="8">
        <f t="shared" si="5"/>
        <v>41781.572299248597</v>
      </c>
      <c r="J36" s="8">
        <f t="shared" si="6"/>
        <v>306398.19686115638</v>
      </c>
      <c r="K36" s="8">
        <v>378000</v>
      </c>
      <c r="L36" s="8">
        <v>122025</v>
      </c>
      <c r="M36" s="8">
        <v>75690</v>
      </c>
      <c r="N36" s="8">
        <f t="shared" si="7"/>
        <v>575715</v>
      </c>
      <c r="O36" s="8">
        <f t="shared" si="8"/>
        <v>-269316.80313884362</v>
      </c>
      <c r="P36" s="8">
        <v>15000</v>
      </c>
      <c r="Q36" s="8">
        <f t="shared" si="9"/>
        <v>-284316.80313884362</v>
      </c>
      <c r="R36" s="8">
        <f t="shared" si="15"/>
        <v>3684202.7386393226</v>
      </c>
      <c r="S36" s="8">
        <f t="shared" si="10"/>
        <v>3399885.9355004788</v>
      </c>
      <c r="T36" s="8">
        <f t="shared" si="11"/>
        <v>122025</v>
      </c>
      <c r="U36" s="8">
        <v>8135</v>
      </c>
      <c r="V36" s="8">
        <f t="shared" si="12"/>
        <v>8135</v>
      </c>
      <c r="W36" s="8">
        <v>15</v>
      </c>
    </row>
    <row r="37" spans="1:23" x14ac:dyDescent="0.3">
      <c r="A37" s="10">
        <v>46539</v>
      </c>
      <c r="B37" s="9">
        <f t="shared" si="13"/>
        <v>130.42573396140216</v>
      </c>
      <c r="C37" s="9">
        <f t="shared" si="0"/>
        <v>16</v>
      </c>
      <c r="D37" s="9">
        <f t="shared" si="1"/>
        <v>3.9127720188420647</v>
      </c>
      <c r="E37" s="9">
        <f t="shared" si="2"/>
        <v>142.51296194256008</v>
      </c>
      <c r="F37" s="8">
        <f t="shared" si="14"/>
        <v>2673.9724267916845</v>
      </c>
      <c r="G37" s="8">
        <f t="shared" si="3"/>
        <v>381075.73069481837</v>
      </c>
      <c r="H37" s="8">
        <f t="shared" si="4"/>
        <v>381075.73069481837</v>
      </c>
      <c r="I37" s="8">
        <f t="shared" si="5"/>
        <v>45729.087683378202</v>
      </c>
      <c r="J37" s="8">
        <f t="shared" si="6"/>
        <v>335346.64301144017</v>
      </c>
      <c r="K37" s="8">
        <v>378000</v>
      </c>
      <c r="L37" s="8">
        <v>128175</v>
      </c>
      <c r="M37" s="8">
        <v>77760</v>
      </c>
      <c r="N37" s="8">
        <f t="shared" si="7"/>
        <v>583935</v>
      </c>
      <c r="O37" s="8">
        <f t="shared" si="8"/>
        <v>-248588.35698855983</v>
      </c>
      <c r="P37" s="8">
        <v>15000</v>
      </c>
      <c r="Q37" s="8">
        <f t="shared" si="9"/>
        <v>-263588.35698855983</v>
      </c>
      <c r="R37" s="8">
        <f t="shared" si="15"/>
        <v>3399885.9355004788</v>
      </c>
      <c r="S37" s="8">
        <f t="shared" si="10"/>
        <v>3136297.5785119189</v>
      </c>
      <c r="T37" s="8">
        <f t="shared" si="11"/>
        <v>128175</v>
      </c>
      <c r="U37" s="8">
        <v>8010.9375</v>
      </c>
      <c r="V37" s="8">
        <f t="shared" si="12"/>
        <v>8010.9375</v>
      </c>
      <c r="W37" s="8">
        <v>16</v>
      </c>
    </row>
    <row r="38" spans="1:23" x14ac:dyDescent="0.3">
      <c r="A38" s="10">
        <v>46569</v>
      </c>
      <c r="B38" s="9">
        <f t="shared" si="13"/>
        <v>142.51296194256008</v>
      </c>
      <c r="C38" s="9">
        <f t="shared" si="0"/>
        <v>17</v>
      </c>
      <c r="D38" s="9">
        <f t="shared" si="1"/>
        <v>4.275388858276802</v>
      </c>
      <c r="E38" s="9">
        <f t="shared" si="2"/>
        <v>155.23757308428327</v>
      </c>
      <c r="F38" s="8">
        <f t="shared" si="14"/>
        <v>2678.3887096536237</v>
      </c>
      <c r="G38" s="8">
        <f t="shared" si="3"/>
        <v>415786.56306297355</v>
      </c>
      <c r="H38" s="8">
        <f t="shared" si="4"/>
        <v>415786.56306297355</v>
      </c>
      <c r="I38" s="8">
        <f t="shared" si="5"/>
        <v>49894.387567556827</v>
      </c>
      <c r="J38" s="8">
        <f t="shared" si="6"/>
        <v>365892.17549541674</v>
      </c>
      <c r="K38" s="8">
        <v>468000</v>
      </c>
      <c r="L38" s="8">
        <v>134325</v>
      </c>
      <c r="M38" s="8">
        <v>79740</v>
      </c>
      <c r="N38" s="8">
        <f t="shared" si="7"/>
        <v>682065</v>
      </c>
      <c r="O38" s="8">
        <f t="shared" si="8"/>
        <v>-316172.82450458326</v>
      </c>
      <c r="P38" s="8">
        <v>15000</v>
      </c>
      <c r="Q38" s="8">
        <f t="shared" si="9"/>
        <v>-331172.82450458326</v>
      </c>
      <c r="R38" s="8">
        <f t="shared" si="15"/>
        <v>3136297.5785119189</v>
      </c>
      <c r="S38" s="8">
        <f t="shared" si="10"/>
        <v>2805124.7540073358</v>
      </c>
      <c r="T38" s="8">
        <f t="shared" si="11"/>
        <v>134325</v>
      </c>
      <c r="U38" s="8">
        <v>7901.4705882352937</v>
      </c>
      <c r="V38" s="8">
        <f t="shared" si="12"/>
        <v>7901.4705882352937</v>
      </c>
      <c r="W38" s="8">
        <v>17</v>
      </c>
    </row>
    <row r="39" spans="1:23" x14ac:dyDescent="0.3">
      <c r="A39" s="10">
        <v>46600</v>
      </c>
      <c r="B39" s="9">
        <f t="shared" si="13"/>
        <v>155.23757308428327</v>
      </c>
      <c r="C39" s="9">
        <f t="shared" si="0"/>
        <v>18</v>
      </c>
      <c r="D39" s="9">
        <f t="shared" si="1"/>
        <v>4.657127192528498</v>
      </c>
      <c r="E39" s="9">
        <f t="shared" si="2"/>
        <v>168.58044589175478</v>
      </c>
      <c r="F39" s="8">
        <f t="shared" si="14"/>
        <v>2682.8122863657618</v>
      </c>
      <c r="G39" s="8">
        <f t="shared" si="3"/>
        <v>452269.69147941825</v>
      </c>
      <c r="H39" s="8">
        <f t="shared" si="4"/>
        <v>452269.69147941825</v>
      </c>
      <c r="I39" s="8">
        <f t="shared" si="5"/>
        <v>54272.362977530189</v>
      </c>
      <c r="J39" s="8">
        <f t="shared" si="6"/>
        <v>397997.32850188809</v>
      </c>
      <c r="K39" s="8">
        <v>468000</v>
      </c>
      <c r="L39" s="8">
        <v>140475</v>
      </c>
      <c r="M39" s="8">
        <v>81810</v>
      </c>
      <c r="N39" s="8">
        <f t="shared" si="7"/>
        <v>690285</v>
      </c>
      <c r="O39" s="8">
        <f t="shared" si="8"/>
        <v>-292287.67149811191</v>
      </c>
      <c r="P39" s="8">
        <v>15000</v>
      </c>
      <c r="Q39" s="8">
        <f t="shared" si="9"/>
        <v>-307287.67149811191</v>
      </c>
      <c r="R39" s="8">
        <f t="shared" si="15"/>
        <v>2805124.7540073358</v>
      </c>
      <c r="S39" s="8">
        <f t="shared" si="10"/>
        <v>2497837.0825092238</v>
      </c>
      <c r="T39" s="8">
        <f t="shared" si="11"/>
        <v>140475</v>
      </c>
      <c r="U39" s="8">
        <v>7804.166666666667</v>
      </c>
      <c r="V39" s="8">
        <f t="shared" si="12"/>
        <v>7804.166666666667</v>
      </c>
      <c r="W39" s="8">
        <v>18</v>
      </c>
    </row>
    <row r="40" spans="1:23" x14ac:dyDescent="0.3">
      <c r="A40" s="10">
        <v>46631</v>
      </c>
      <c r="B40" s="9">
        <f t="shared" si="13"/>
        <v>168.58044589175478</v>
      </c>
      <c r="C40" s="9">
        <f t="shared" si="0"/>
        <v>19</v>
      </c>
      <c r="D40" s="9">
        <f t="shared" si="1"/>
        <v>5.0574133767526428</v>
      </c>
      <c r="E40" s="9">
        <f t="shared" si="2"/>
        <v>182.52303251500214</v>
      </c>
      <c r="F40" s="8">
        <f t="shared" si="14"/>
        <v>2687.2431689744853</v>
      </c>
      <c r="G40" s="8">
        <f t="shared" si="3"/>
        <v>490483.77230644738</v>
      </c>
      <c r="H40" s="8">
        <f t="shared" si="4"/>
        <v>490483.77230644738</v>
      </c>
      <c r="I40" s="8">
        <f t="shared" si="5"/>
        <v>58858.052676773681</v>
      </c>
      <c r="J40" s="8">
        <f t="shared" si="6"/>
        <v>431625.71962967369</v>
      </c>
      <c r="K40" s="8">
        <v>468000</v>
      </c>
      <c r="L40" s="8">
        <v>146625</v>
      </c>
      <c r="M40" s="8">
        <v>83880</v>
      </c>
      <c r="N40" s="8">
        <f t="shared" si="7"/>
        <v>698505</v>
      </c>
      <c r="O40" s="8">
        <f t="shared" si="8"/>
        <v>-266879.28037032631</v>
      </c>
      <c r="P40" s="8">
        <v>15000</v>
      </c>
      <c r="Q40" s="8">
        <f t="shared" si="9"/>
        <v>-281879.28037032631</v>
      </c>
      <c r="R40" s="8">
        <f t="shared" si="15"/>
        <v>2497837.0825092238</v>
      </c>
      <c r="S40" s="8">
        <f t="shared" si="10"/>
        <v>2215957.8021388976</v>
      </c>
      <c r="T40" s="8">
        <f t="shared" si="11"/>
        <v>146625</v>
      </c>
      <c r="U40" s="8">
        <v>7717.105263157895</v>
      </c>
      <c r="V40" s="8">
        <f t="shared" si="12"/>
        <v>7717.105263157895</v>
      </c>
      <c r="W40" s="8">
        <v>19</v>
      </c>
    </row>
    <row r="41" spans="1:23" x14ac:dyDescent="0.3">
      <c r="A41" s="10">
        <v>46661</v>
      </c>
      <c r="B41" s="9">
        <f t="shared" si="13"/>
        <v>182.52303251500214</v>
      </c>
      <c r="C41" s="9">
        <f t="shared" si="0"/>
        <v>20</v>
      </c>
      <c r="D41" s="9">
        <f t="shared" si="1"/>
        <v>5.475690975450064</v>
      </c>
      <c r="E41" s="9">
        <f t="shared" si="2"/>
        <v>197.04734153955206</v>
      </c>
      <c r="F41" s="8">
        <f t="shared" si="14"/>
        <v>2691.6813695460764</v>
      </c>
      <c r="G41" s="8">
        <f t="shared" si="3"/>
        <v>530388.65814059495</v>
      </c>
      <c r="H41" s="8">
        <f t="shared" si="4"/>
        <v>530388.65814059495</v>
      </c>
      <c r="I41" s="8">
        <f t="shared" si="5"/>
        <v>63646.638976871393</v>
      </c>
      <c r="J41" s="8">
        <f t="shared" si="6"/>
        <v>466742.01916372357</v>
      </c>
      <c r="K41" s="8">
        <v>468000</v>
      </c>
      <c r="L41" s="8">
        <v>152700</v>
      </c>
      <c r="M41" s="8">
        <v>85950</v>
      </c>
      <c r="N41" s="8">
        <f t="shared" si="7"/>
        <v>706650</v>
      </c>
      <c r="O41" s="8">
        <f t="shared" si="8"/>
        <v>-239907.98083627643</v>
      </c>
      <c r="P41" s="8">
        <v>15000</v>
      </c>
      <c r="Q41" s="8">
        <f t="shared" si="9"/>
        <v>-254907.98083627643</v>
      </c>
      <c r="R41" s="8">
        <f t="shared" si="15"/>
        <v>2215957.8021388976</v>
      </c>
      <c r="S41" s="8">
        <f t="shared" si="10"/>
        <v>1961049.8213026212</v>
      </c>
      <c r="T41" s="8">
        <f t="shared" si="11"/>
        <v>152700</v>
      </c>
      <c r="U41" s="8">
        <v>7635</v>
      </c>
      <c r="V41" s="8">
        <f t="shared" si="12"/>
        <v>7635</v>
      </c>
      <c r="W41" s="8">
        <v>20</v>
      </c>
    </row>
    <row r="42" spans="1:23" x14ac:dyDescent="0.3">
      <c r="A42" s="10">
        <v>46692</v>
      </c>
      <c r="B42" s="9">
        <f t="shared" si="13"/>
        <v>197.04734153955206</v>
      </c>
      <c r="C42" s="9">
        <f t="shared" si="0"/>
        <v>21</v>
      </c>
      <c r="D42" s="9">
        <f t="shared" si="1"/>
        <v>5.9114202461865615</v>
      </c>
      <c r="E42" s="9">
        <f t="shared" si="2"/>
        <v>212.1359212933655</v>
      </c>
      <c r="F42" s="8">
        <f t="shared" si="14"/>
        <v>2696.1269001667456</v>
      </c>
      <c r="G42" s="8">
        <f t="shared" si="3"/>
        <v>571945.3638906983</v>
      </c>
      <c r="H42" s="8">
        <f t="shared" si="4"/>
        <v>571945.3638906983</v>
      </c>
      <c r="I42" s="8">
        <f t="shared" si="5"/>
        <v>68633.443666883788</v>
      </c>
      <c r="J42" s="8">
        <f t="shared" si="6"/>
        <v>503311.92022381449</v>
      </c>
      <c r="K42" s="8">
        <v>468000</v>
      </c>
      <c r="L42" s="8">
        <v>158850</v>
      </c>
      <c r="M42" s="8">
        <v>87930</v>
      </c>
      <c r="N42" s="8">
        <f t="shared" si="7"/>
        <v>714780</v>
      </c>
      <c r="O42" s="8">
        <f t="shared" si="8"/>
        <v>-211468.07977618551</v>
      </c>
      <c r="P42" s="8">
        <v>15000</v>
      </c>
      <c r="Q42" s="8">
        <f t="shared" si="9"/>
        <v>-226468.07977618551</v>
      </c>
      <c r="R42" s="8">
        <f t="shared" si="15"/>
        <v>1961049.8213026212</v>
      </c>
      <c r="S42" s="8">
        <f t="shared" si="10"/>
        <v>1734581.7415264356</v>
      </c>
      <c r="T42" s="8">
        <f t="shared" si="11"/>
        <v>158850</v>
      </c>
      <c r="U42" s="8">
        <v>7564.2857142857147</v>
      </c>
      <c r="V42" s="8">
        <f t="shared" si="12"/>
        <v>7564.2857142857147</v>
      </c>
      <c r="W42" s="8">
        <v>21</v>
      </c>
    </row>
    <row r="43" spans="1:23" x14ac:dyDescent="0.3">
      <c r="A43" s="10">
        <v>46722</v>
      </c>
      <c r="B43" s="9">
        <f t="shared" si="13"/>
        <v>212.1359212933655</v>
      </c>
      <c r="C43" s="9">
        <f t="shared" si="0"/>
        <v>22</v>
      </c>
      <c r="D43" s="9">
        <f t="shared" si="1"/>
        <v>6.364077638800965</v>
      </c>
      <c r="E43" s="9">
        <f t="shared" si="2"/>
        <v>227.77184365456452</v>
      </c>
      <c r="F43" s="8">
        <f t="shared" si="14"/>
        <v>2700.5797729426649</v>
      </c>
      <c r="G43" s="8">
        <f t="shared" si="3"/>
        <v>615116.03381937603</v>
      </c>
      <c r="H43" s="8">
        <f t="shared" si="4"/>
        <v>615116.03381937603</v>
      </c>
      <c r="I43" s="8">
        <f t="shared" si="5"/>
        <v>73813.924058325123</v>
      </c>
      <c r="J43" s="8">
        <f t="shared" si="6"/>
        <v>541302.1097610509</v>
      </c>
      <c r="K43" s="8">
        <v>468000</v>
      </c>
      <c r="L43" s="8">
        <v>165000</v>
      </c>
      <c r="M43" s="8">
        <v>90000</v>
      </c>
      <c r="N43" s="8">
        <f t="shared" si="7"/>
        <v>723000</v>
      </c>
      <c r="O43" s="8">
        <f t="shared" si="8"/>
        <v>-181697.8902389491</v>
      </c>
      <c r="P43" s="8">
        <v>15000</v>
      </c>
      <c r="Q43" s="8">
        <f t="shared" si="9"/>
        <v>-196697.8902389491</v>
      </c>
      <c r="R43" s="8">
        <f t="shared" si="15"/>
        <v>1734581.7415264356</v>
      </c>
      <c r="S43" s="8">
        <f t="shared" si="10"/>
        <v>1537883.8512874865</v>
      </c>
      <c r="T43" s="8">
        <f t="shared" si="11"/>
        <v>165000</v>
      </c>
      <c r="U43" s="8">
        <v>7500</v>
      </c>
      <c r="V43" s="8">
        <f t="shared" si="12"/>
        <v>7500</v>
      </c>
      <c r="W43" s="8">
        <v>22</v>
      </c>
    </row>
    <row r="44" spans="1:23" x14ac:dyDescent="0.3">
      <c r="A44" s="10">
        <v>46753</v>
      </c>
      <c r="B44" s="9">
        <f t="shared" si="13"/>
        <v>227.77184365456452</v>
      </c>
      <c r="C44" s="9">
        <f t="shared" si="0"/>
        <v>23</v>
      </c>
      <c r="D44" s="9">
        <f t="shared" si="1"/>
        <v>6.8331553096369353</v>
      </c>
      <c r="E44" s="9">
        <f t="shared" si="2"/>
        <v>243.93868834492758</v>
      </c>
      <c r="F44" s="8">
        <f t="shared" si="14"/>
        <v>2705.0400000000009</v>
      </c>
      <c r="G44" s="8">
        <f t="shared" si="3"/>
        <v>659863.90952056309</v>
      </c>
      <c r="H44" s="8">
        <f t="shared" si="4"/>
        <v>659863.90952056309</v>
      </c>
      <c r="I44" s="8">
        <f t="shared" si="5"/>
        <v>79183.669142467566</v>
      </c>
      <c r="J44" s="8">
        <f t="shared" si="6"/>
        <v>580680.24037809554</v>
      </c>
      <c r="K44" s="8">
        <v>612000</v>
      </c>
      <c r="L44" s="8">
        <v>172500</v>
      </c>
      <c r="M44" s="8">
        <v>94500</v>
      </c>
      <c r="N44" s="8">
        <f t="shared" si="7"/>
        <v>879000</v>
      </c>
      <c r="O44" s="8">
        <f t="shared" si="8"/>
        <v>-298319.75962190446</v>
      </c>
      <c r="P44" s="8">
        <v>10000</v>
      </c>
      <c r="Q44" s="8">
        <f t="shared" si="9"/>
        <v>-308319.75962190446</v>
      </c>
      <c r="R44" s="8">
        <f t="shared" si="15"/>
        <v>1537883.8512874865</v>
      </c>
      <c r="S44" s="8">
        <f t="shared" si="10"/>
        <v>1229564.091665582</v>
      </c>
      <c r="T44" s="8">
        <f t="shared" si="11"/>
        <v>172500</v>
      </c>
      <c r="U44" s="8">
        <v>7500</v>
      </c>
      <c r="V44" s="8">
        <f t="shared" si="12"/>
        <v>7500</v>
      </c>
      <c r="W44" s="8">
        <v>23</v>
      </c>
    </row>
    <row r="45" spans="1:23" x14ac:dyDescent="0.3">
      <c r="A45" s="10">
        <v>46784</v>
      </c>
      <c r="B45" s="9">
        <f t="shared" si="13"/>
        <v>243.93868834492758</v>
      </c>
      <c r="C45" s="9">
        <f t="shared" si="0"/>
        <v>24</v>
      </c>
      <c r="D45" s="9">
        <f t="shared" si="1"/>
        <v>7.3181606503478269</v>
      </c>
      <c r="E45" s="9">
        <f t="shared" si="2"/>
        <v>260.62052769457978</v>
      </c>
      <c r="F45" s="8">
        <f t="shared" si="14"/>
        <v>2709.5075934849469</v>
      </c>
      <c r="G45" s="8">
        <f t="shared" si="3"/>
        <v>706153.29880651785</v>
      </c>
      <c r="H45" s="8">
        <f t="shared" si="4"/>
        <v>706153.29880651785</v>
      </c>
      <c r="I45" s="8">
        <f t="shared" si="5"/>
        <v>84738.395856782139</v>
      </c>
      <c r="J45" s="8">
        <f t="shared" si="6"/>
        <v>621414.90294973576</v>
      </c>
      <c r="K45" s="8">
        <v>612000</v>
      </c>
      <c r="L45" s="8">
        <v>180675</v>
      </c>
      <c r="M45" s="8">
        <v>97380</v>
      </c>
      <c r="N45" s="8">
        <f t="shared" si="7"/>
        <v>890055</v>
      </c>
      <c r="O45" s="8">
        <f t="shared" si="8"/>
        <v>-268640.09705026424</v>
      </c>
      <c r="P45" s="8">
        <v>10000</v>
      </c>
      <c r="Q45" s="8">
        <f t="shared" si="9"/>
        <v>-278640.09705026424</v>
      </c>
      <c r="R45" s="8">
        <f t="shared" si="15"/>
        <v>1229564.091665582</v>
      </c>
      <c r="S45" s="8">
        <f t="shared" si="10"/>
        <v>950923.99461531779</v>
      </c>
      <c r="T45" s="8">
        <f t="shared" si="11"/>
        <v>180675</v>
      </c>
      <c r="U45" s="8">
        <v>7528.125</v>
      </c>
      <c r="V45" s="8">
        <f t="shared" si="12"/>
        <v>7528.125</v>
      </c>
      <c r="W45" s="8">
        <v>24</v>
      </c>
    </row>
    <row r="46" spans="1:23" x14ac:dyDescent="0.3">
      <c r="A46" s="10">
        <v>46813</v>
      </c>
      <c r="B46" s="9">
        <f t="shared" si="13"/>
        <v>260.62052769457978</v>
      </c>
      <c r="C46" s="9">
        <f t="shared" si="0"/>
        <v>25</v>
      </c>
      <c r="D46" s="9">
        <f t="shared" si="1"/>
        <v>7.818615830837393</v>
      </c>
      <c r="E46" s="9">
        <f t="shared" si="2"/>
        <v>277.80191186374236</v>
      </c>
      <c r="F46" s="8">
        <f t="shared" si="14"/>
        <v>2713.9825655637574</v>
      </c>
      <c r="G46" s="8">
        <f t="shared" si="3"/>
        <v>753949.54547847633</v>
      </c>
      <c r="H46" s="8">
        <f t="shared" si="4"/>
        <v>753949.54547847633</v>
      </c>
      <c r="I46" s="8">
        <f t="shared" si="5"/>
        <v>90473.945457417154</v>
      </c>
      <c r="J46" s="8">
        <f t="shared" si="6"/>
        <v>663475.60002105916</v>
      </c>
      <c r="K46" s="8">
        <v>612000</v>
      </c>
      <c r="L46" s="8">
        <v>188850</v>
      </c>
      <c r="M46" s="8">
        <v>100260</v>
      </c>
      <c r="N46" s="8">
        <f t="shared" si="7"/>
        <v>901110</v>
      </c>
      <c r="O46" s="8">
        <f t="shared" si="8"/>
        <v>-237634.39997894084</v>
      </c>
      <c r="P46" s="8">
        <v>10000</v>
      </c>
      <c r="Q46" s="8">
        <f t="shared" si="9"/>
        <v>-247634.39997894084</v>
      </c>
      <c r="R46" s="8">
        <f t="shared" si="15"/>
        <v>950923.99461531779</v>
      </c>
      <c r="S46" s="8">
        <f t="shared" si="10"/>
        <v>703289.59463637695</v>
      </c>
      <c r="T46" s="8">
        <f t="shared" si="11"/>
        <v>188850</v>
      </c>
      <c r="U46" s="8">
        <v>7554</v>
      </c>
      <c r="V46" s="8">
        <f t="shared" si="12"/>
        <v>7554</v>
      </c>
      <c r="W46" s="8">
        <v>25</v>
      </c>
    </row>
    <row r="47" spans="1:23" x14ac:dyDescent="0.3">
      <c r="A47" s="10">
        <v>46844</v>
      </c>
      <c r="B47" s="9">
        <f t="shared" si="13"/>
        <v>277.80191186374236</v>
      </c>
      <c r="C47" s="9">
        <f t="shared" si="0"/>
        <v>26</v>
      </c>
      <c r="D47" s="9">
        <f t="shared" si="1"/>
        <v>8.3340573559122699</v>
      </c>
      <c r="E47" s="9">
        <f t="shared" si="2"/>
        <v>295.46785450783011</v>
      </c>
      <c r="F47" s="8">
        <f t="shared" si="14"/>
        <v>2718.4649284227798</v>
      </c>
      <c r="G47" s="8">
        <f t="shared" si="3"/>
        <v>803218.99995586067</v>
      </c>
      <c r="H47" s="8">
        <f t="shared" si="4"/>
        <v>803218.99995586067</v>
      </c>
      <c r="I47" s="8">
        <f t="shared" si="5"/>
        <v>96386.279994703276</v>
      </c>
      <c r="J47" s="8">
        <f t="shared" si="6"/>
        <v>706832.71996115742</v>
      </c>
      <c r="K47" s="8">
        <v>612000</v>
      </c>
      <c r="L47" s="8">
        <v>197025</v>
      </c>
      <c r="M47" s="8">
        <v>103050</v>
      </c>
      <c r="N47" s="8">
        <f t="shared" si="7"/>
        <v>912075</v>
      </c>
      <c r="O47" s="8">
        <f t="shared" si="8"/>
        <v>-205242.28003884258</v>
      </c>
      <c r="P47" s="8">
        <v>10000</v>
      </c>
      <c r="Q47" s="8">
        <f t="shared" si="9"/>
        <v>-215242.28003884258</v>
      </c>
      <c r="R47" s="8">
        <f t="shared" si="15"/>
        <v>703289.59463637695</v>
      </c>
      <c r="S47" s="8">
        <f t="shared" si="10"/>
        <v>488047.31459753437</v>
      </c>
      <c r="T47" s="8">
        <f t="shared" si="11"/>
        <v>197025</v>
      </c>
      <c r="U47" s="8">
        <v>7577.8846153846152</v>
      </c>
      <c r="V47" s="8">
        <f t="shared" si="12"/>
        <v>7577.8846153846152</v>
      </c>
      <c r="W47" s="8">
        <v>26</v>
      </c>
    </row>
    <row r="48" spans="1:23" x14ac:dyDescent="0.3">
      <c r="A48" s="10">
        <v>46874</v>
      </c>
      <c r="B48" s="9">
        <f t="shared" si="13"/>
        <v>295.46785450783011</v>
      </c>
      <c r="C48" s="9">
        <f t="shared" si="0"/>
        <v>27</v>
      </c>
      <c r="D48" s="9">
        <f t="shared" si="1"/>
        <v>8.8640356352349023</v>
      </c>
      <c r="E48" s="9">
        <f t="shared" si="2"/>
        <v>313.60381887259518</v>
      </c>
      <c r="F48" s="8">
        <f t="shared" si="14"/>
        <v>2722.9546942684888</v>
      </c>
      <c r="G48" s="8">
        <f t="shared" si="3"/>
        <v>853928.99073965789</v>
      </c>
      <c r="H48" s="8">
        <f t="shared" si="4"/>
        <v>853928.99073965789</v>
      </c>
      <c r="I48" s="8">
        <f t="shared" si="5"/>
        <v>102471.47888875894</v>
      </c>
      <c r="J48" s="8">
        <f t="shared" si="6"/>
        <v>751457.51185089897</v>
      </c>
      <c r="K48" s="8">
        <v>612000</v>
      </c>
      <c r="L48" s="8">
        <v>205200</v>
      </c>
      <c r="M48" s="8">
        <v>105930</v>
      </c>
      <c r="N48" s="8">
        <f t="shared" si="7"/>
        <v>923130</v>
      </c>
      <c r="O48" s="8">
        <f t="shared" si="8"/>
        <v>-171672.48814910103</v>
      </c>
      <c r="P48" s="8">
        <v>10000</v>
      </c>
      <c r="Q48" s="8">
        <f t="shared" si="9"/>
        <v>-181672.48814910103</v>
      </c>
      <c r="R48" s="8">
        <f t="shared" si="15"/>
        <v>488047.31459753437</v>
      </c>
      <c r="S48" s="8">
        <f t="shared" si="10"/>
        <v>306374.82644843333</v>
      </c>
      <c r="T48" s="8">
        <f t="shared" si="11"/>
        <v>205200</v>
      </c>
      <c r="U48" s="8">
        <v>7600</v>
      </c>
      <c r="V48" s="8">
        <f t="shared" si="12"/>
        <v>7600</v>
      </c>
      <c r="W48" s="8">
        <v>27</v>
      </c>
    </row>
    <row r="49" spans="1:23" x14ac:dyDescent="0.3">
      <c r="A49" s="10">
        <v>46905</v>
      </c>
      <c r="B49" s="9">
        <f t="shared" si="13"/>
        <v>313.60381887259518</v>
      </c>
      <c r="C49" s="9">
        <f t="shared" si="0"/>
        <v>28</v>
      </c>
      <c r="D49" s="9">
        <f t="shared" si="1"/>
        <v>9.408114566177856</v>
      </c>
      <c r="E49" s="9">
        <f t="shared" si="2"/>
        <v>332.19570430641733</v>
      </c>
      <c r="F49" s="8">
        <f t="shared" si="14"/>
        <v>2727.4518753275183</v>
      </c>
      <c r="G49" s="8">
        <f t="shared" si="3"/>
        <v>906047.79668628366</v>
      </c>
      <c r="H49" s="8">
        <f t="shared" si="4"/>
        <v>906047.79668628366</v>
      </c>
      <c r="I49" s="8">
        <f t="shared" si="5"/>
        <v>108725.73560235403</v>
      </c>
      <c r="J49" s="8">
        <f t="shared" si="6"/>
        <v>797322.06108392961</v>
      </c>
      <c r="K49" s="8">
        <v>612000</v>
      </c>
      <c r="L49" s="8">
        <v>213375</v>
      </c>
      <c r="M49" s="8">
        <v>108810</v>
      </c>
      <c r="N49" s="8">
        <f t="shared" si="7"/>
        <v>934185</v>
      </c>
      <c r="O49" s="8">
        <f t="shared" si="8"/>
        <v>-136862.93891607039</v>
      </c>
      <c r="P49" s="8">
        <v>10000</v>
      </c>
      <c r="Q49" s="8">
        <f t="shared" si="9"/>
        <v>-146862.93891607039</v>
      </c>
      <c r="R49" s="8">
        <f t="shared" si="15"/>
        <v>306374.82644843333</v>
      </c>
      <c r="S49" s="8">
        <f t="shared" si="10"/>
        <v>159511.88753236295</v>
      </c>
      <c r="T49" s="8">
        <f t="shared" si="11"/>
        <v>213375</v>
      </c>
      <c r="U49" s="8">
        <v>7620.5357142857147</v>
      </c>
      <c r="V49" s="8">
        <f t="shared" si="12"/>
        <v>7620.5357142857147</v>
      </c>
      <c r="W49" s="8">
        <v>28</v>
      </c>
    </row>
    <row r="50" spans="1:23" x14ac:dyDescent="0.3">
      <c r="A50" s="10">
        <v>46935</v>
      </c>
      <c r="B50" s="9">
        <f t="shared" si="13"/>
        <v>332.19570430641733</v>
      </c>
      <c r="C50" s="9">
        <f t="shared" si="0"/>
        <v>30</v>
      </c>
      <c r="D50" s="9">
        <f t="shared" si="1"/>
        <v>9.9658711291925197</v>
      </c>
      <c r="E50" s="9">
        <f t="shared" si="2"/>
        <v>352.2298331772248</v>
      </c>
      <c r="F50" s="8">
        <f t="shared" si="14"/>
        <v>2731.9564838466963</v>
      </c>
      <c r="G50" s="8">
        <f t="shared" si="3"/>
        <v>962276.57655275951</v>
      </c>
      <c r="H50" s="8">
        <f t="shared" si="4"/>
        <v>962276.57655275951</v>
      </c>
      <c r="I50" s="8">
        <f t="shared" si="5"/>
        <v>115473.18918633113</v>
      </c>
      <c r="J50" s="8">
        <f t="shared" si="6"/>
        <v>846803.38736642839</v>
      </c>
      <c r="K50" s="8">
        <v>738000</v>
      </c>
      <c r="L50" s="8">
        <v>221625</v>
      </c>
      <c r="M50" s="8">
        <v>111690</v>
      </c>
      <c r="N50" s="8">
        <f t="shared" si="7"/>
        <v>1071315</v>
      </c>
      <c r="O50" s="8">
        <f t="shared" si="8"/>
        <v>-224511.61263357161</v>
      </c>
      <c r="P50" s="8">
        <v>10000</v>
      </c>
      <c r="Q50" s="8">
        <f t="shared" si="9"/>
        <v>-234511.61263357161</v>
      </c>
      <c r="R50" s="8">
        <f t="shared" si="15"/>
        <v>159511.88753236295</v>
      </c>
      <c r="S50" s="8">
        <f t="shared" si="10"/>
        <v>-74999.725101208664</v>
      </c>
      <c r="T50" s="8">
        <f t="shared" si="11"/>
        <v>221625</v>
      </c>
      <c r="U50" s="8">
        <v>7387.5</v>
      </c>
      <c r="V50" s="8">
        <f t="shared" si="12"/>
        <v>7387.5</v>
      </c>
      <c r="W50" s="8">
        <v>30</v>
      </c>
    </row>
    <row r="51" spans="1:23" x14ac:dyDescent="0.3">
      <c r="A51" s="10">
        <v>46966</v>
      </c>
      <c r="B51" s="9">
        <f t="shared" si="13"/>
        <v>352.2298331772248</v>
      </c>
      <c r="C51" s="9">
        <f t="shared" si="0"/>
        <v>31</v>
      </c>
      <c r="D51" s="9">
        <f t="shared" si="1"/>
        <v>10.566894995316744</v>
      </c>
      <c r="E51" s="9">
        <f t="shared" si="2"/>
        <v>372.66293818190809</v>
      </c>
      <c r="F51" s="8">
        <f t="shared" si="14"/>
        <v>2736.4685320930771</v>
      </c>
      <c r="G51" s="8">
        <f t="shared" si="3"/>
        <v>1019780.4034121392</v>
      </c>
      <c r="H51" s="8">
        <f t="shared" si="4"/>
        <v>1019780.4034121392</v>
      </c>
      <c r="I51" s="8">
        <f t="shared" si="5"/>
        <v>122373.6484094567</v>
      </c>
      <c r="J51" s="8">
        <f t="shared" si="6"/>
        <v>897406.75500268245</v>
      </c>
      <c r="K51" s="8">
        <v>738000</v>
      </c>
      <c r="L51" s="8">
        <v>229800</v>
      </c>
      <c r="M51" s="8">
        <v>114570</v>
      </c>
      <c r="N51" s="8">
        <f t="shared" si="7"/>
        <v>1082370</v>
      </c>
      <c r="O51" s="8">
        <f t="shared" si="8"/>
        <v>-184963.24499731755</v>
      </c>
      <c r="P51" s="8">
        <v>10000</v>
      </c>
      <c r="Q51" s="8">
        <f t="shared" si="9"/>
        <v>-194963.24499731755</v>
      </c>
      <c r="R51" s="8">
        <f t="shared" si="15"/>
        <v>-74999.725101208664</v>
      </c>
      <c r="S51" s="8">
        <f t="shared" si="10"/>
        <v>-269962.97009852622</v>
      </c>
      <c r="T51" s="8">
        <f t="shared" si="11"/>
        <v>229800</v>
      </c>
      <c r="U51" s="8">
        <v>7412.9032258064517</v>
      </c>
      <c r="V51" s="8">
        <f t="shared" si="12"/>
        <v>7412.9032258064517</v>
      </c>
      <c r="W51" s="8">
        <v>31</v>
      </c>
    </row>
    <row r="52" spans="1:23" x14ac:dyDescent="0.3">
      <c r="A52" s="10">
        <v>46997</v>
      </c>
      <c r="B52" s="9">
        <f t="shared" si="13"/>
        <v>372.66293818190809</v>
      </c>
      <c r="C52" s="9">
        <f t="shared" si="0"/>
        <v>32</v>
      </c>
      <c r="D52" s="9">
        <f t="shared" si="1"/>
        <v>11.179888145457243</v>
      </c>
      <c r="E52" s="9">
        <f t="shared" si="2"/>
        <v>393.48305003645083</v>
      </c>
      <c r="F52" s="8">
        <f t="shared" si="14"/>
        <v>2740.9880323539751</v>
      </c>
      <c r="G52" s="8">
        <f t="shared" si="3"/>
        <v>1078532.3310840521</v>
      </c>
      <c r="H52" s="8">
        <f t="shared" si="4"/>
        <v>1078532.3310840521</v>
      </c>
      <c r="I52" s="8">
        <f t="shared" si="5"/>
        <v>129423.87973008625</v>
      </c>
      <c r="J52" s="8">
        <f t="shared" si="6"/>
        <v>949108.45135396579</v>
      </c>
      <c r="K52" s="8">
        <v>738000</v>
      </c>
      <c r="L52" s="8">
        <v>237975</v>
      </c>
      <c r="M52" s="8">
        <v>117450</v>
      </c>
      <c r="N52" s="8">
        <f t="shared" si="7"/>
        <v>1093425</v>
      </c>
      <c r="O52" s="8">
        <f t="shared" si="8"/>
        <v>-144316.54864603421</v>
      </c>
      <c r="P52" s="8">
        <v>10000</v>
      </c>
      <c r="Q52" s="8">
        <f t="shared" si="9"/>
        <v>-154316.54864603421</v>
      </c>
      <c r="R52" s="8">
        <f t="shared" si="15"/>
        <v>-269962.97009852622</v>
      </c>
      <c r="S52" s="8">
        <f t="shared" si="10"/>
        <v>-424279.51874456042</v>
      </c>
      <c r="T52" s="8">
        <f t="shared" si="11"/>
        <v>237975</v>
      </c>
      <c r="U52" s="8">
        <v>7436.71875</v>
      </c>
      <c r="V52" s="8">
        <f t="shared" si="12"/>
        <v>7436.71875</v>
      </c>
      <c r="W52" s="8">
        <v>32</v>
      </c>
    </row>
    <row r="53" spans="1:23" x14ac:dyDescent="0.3">
      <c r="A53" s="10">
        <v>47027</v>
      </c>
      <c r="B53" s="9">
        <f t="shared" si="13"/>
        <v>393.48305003645083</v>
      </c>
      <c r="C53" s="9">
        <f t="shared" si="0"/>
        <v>33</v>
      </c>
      <c r="D53" s="9">
        <f t="shared" si="1"/>
        <v>11.804491501093525</v>
      </c>
      <c r="E53" s="9">
        <f t="shared" si="2"/>
        <v>414.6785585353573</v>
      </c>
      <c r="F53" s="8">
        <f t="shared" si="14"/>
        <v>2745.5149969369982</v>
      </c>
      <c r="G53" s="8">
        <f t="shared" si="3"/>
        <v>1138506.2013670404</v>
      </c>
      <c r="H53" s="8">
        <f t="shared" si="4"/>
        <v>1138506.2013670404</v>
      </c>
      <c r="I53" s="8">
        <f t="shared" si="5"/>
        <v>136620.74416404485</v>
      </c>
      <c r="J53" s="8">
        <f t="shared" si="6"/>
        <v>1001885.4572029955</v>
      </c>
      <c r="K53" s="8">
        <v>738000</v>
      </c>
      <c r="L53" s="8">
        <v>246150</v>
      </c>
      <c r="M53" s="8">
        <v>120240</v>
      </c>
      <c r="N53" s="8">
        <f t="shared" si="7"/>
        <v>1104390</v>
      </c>
      <c r="O53" s="8">
        <f t="shared" si="8"/>
        <v>-102504.54279700445</v>
      </c>
      <c r="P53" s="8">
        <v>10000</v>
      </c>
      <c r="Q53" s="8">
        <f t="shared" si="9"/>
        <v>-112504.54279700445</v>
      </c>
      <c r="R53" s="8">
        <f t="shared" si="15"/>
        <v>-424279.51874456042</v>
      </c>
      <c r="S53" s="8">
        <f t="shared" si="10"/>
        <v>-536784.06154156488</v>
      </c>
      <c r="T53" s="8">
        <f t="shared" si="11"/>
        <v>246150</v>
      </c>
      <c r="U53" s="8">
        <v>7459.090909090909</v>
      </c>
      <c r="V53" s="8">
        <f t="shared" si="12"/>
        <v>7459.090909090909</v>
      </c>
      <c r="W53" s="8">
        <v>33</v>
      </c>
    </row>
    <row r="54" spans="1:23" x14ac:dyDescent="0.3">
      <c r="A54" s="10">
        <v>47058</v>
      </c>
      <c r="B54" s="9">
        <f t="shared" si="13"/>
        <v>414.6785585353573</v>
      </c>
      <c r="C54" s="9">
        <f t="shared" si="0"/>
        <v>34</v>
      </c>
      <c r="D54" s="9">
        <f t="shared" si="1"/>
        <v>12.440356756060719</v>
      </c>
      <c r="E54" s="9">
        <f t="shared" si="2"/>
        <v>436.23820177929656</v>
      </c>
      <c r="F54" s="8">
        <f t="shared" si="14"/>
        <v>2750.049438170081</v>
      </c>
      <c r="G54" s="8">
        <f t="shared" si="3"/>
        <v>1199676.6217114809</v>
      </c>
      <c r="H54" s="8">
        <f t="shared" si="4"/>
        <v>1199676.6217114809</v>
      </c>
      <c r="I54" s="8">
        <f t="shared" si="5"/>
        <v>143961.19460537771</v>
      </c>
      <c r="J54" s="8">
        <f t="shared" si="6"/>
        <v>1055715.4271061032</v>
      </c>
      <c r="K54" s="8">
        <v>738000</v>
      </c>
      <c r="L54" s="8">
        <v>254325</v>
      </c>
      <c r="M54" s="8">
        <v>123120</v>
      </c>
      <c r="N54" s="8">
        <f t="shared" si="7"/>
        <v>1115445</v>
      </c>
      <c r="O54" s="8">
        <f t="shared" si="8"/>
        <v>-59729.572893896839</v>
      </c>
      <c r="P54" s="8">
        <v>10000</v>
      </c>
      <c r="Q54" s="8">
        <f t="shared" si="9"/>
        <v>-69729.572893896839</v>
      </c>
      <c r="R54" s="8">
        <f t="shared" si="15"/>
        <v>-536784.06154156488</v>
      </c>
      <c r="S54" s="8">
        <f t="shared" si="10"/>
        <v>-606513.63443546172</v>
      </c>
      <c r="T54" s="8">
        <f t="shared" si="11"/>
        <v>254325</v>
      </c>
      <c r="U54" s="8">
        <v>7480.1470588235297</v>
      </c>
      <c r="V54" s="8">
        <f t="shared" si="12"/>
        <v>7480.1470588235297</v>
      </c>
      <c r="W54" s="8">
        <v>34</v>
      </c>
    </row>
    <row r="55" spans="1:23" x14ac:dyDescent="0.3">
      <c r="A55" s="10">
        <v>47088</v>
      </c>
      <c r="B55" s="9">
        <f t="shared" si="13"/>
        <v>436.23820177929656</v>
      </c>
      <c r="C55" s="9">
        <f t="shared" si="0"/>
        <v>35</v>
      </c>
      <c r="D55" s="9">
        <f t="shared" si="1"/>
        <v>13.087146053378897</v>
      </c>
      <c r="E55" s="9">
        <f t="shared" si="2"/>
        <v>458.15105572591767</v>
      </c>
      <c r="F55" s="8">
        <f t="shared" si="14"/>
        <v>2754.591368401519</v>
      </c>
      <c r="G55" s="8">
        <f t="shared" si="3"/>
        <v>1262018.9435266561</v>
      </c>
      <c r="H55" s="8">
        <f t="shared" si="4"/>
        <v>1262018.9435266561</v>
      </c>
      <c r="I55" s="8">
        <f t="shared" si="5"/>
        <v>151442.27322319872</v>
      </c>
      <c r="J55" s="8">
        <f t="shared" si="6"/>
        <v>1110576.6703034574</v>
      </c>
      <c r="K55" s="8">
        <v>738000</v>
      </c>
      <c r="L55" s="8">
        <v>262500</v>
      </c>
      <c r="M55" s="8">
        <v>126000</v>
      </c>
      <c r="N55" s="8">
        <f t="shared" si="7"/>
        <v>1126500</v>
      </c>
      <c r="O55" s="8">
        <f t="shared" si="8"/>
        <v>-15923.329696542583</v>
      </c>
      <c r="P55" s="8">
        <v>10000</v>
      </c>
      <c r="Q55" s="8">
        <f t="shared" si="9"/>
        <v>-25923.329696542583</v>
      </c>
      <c r="R55" s="8">
        <f t="shared" si="15"/>
        <v>-606513.63443546172</v>
      </c>
      <c r="S55" s="8">
        <f t="shared" si="10"/>
        <v>-632436.9641320043</v>
      </c>
      <c r="T55" s="8">
        <f t="shared" si="11"/>
        <v>262500</v>
      </c>
      <c r="U55" s="8">
        <v>7500</v>
      </c>
      <c r="V55" s="8">
        <f t="shared" si="12"/>
        <v>7500</v>
      </c>
      <c r="W55" s="8">
        <v>35</v>
      </c>
    </row>
  </sheetData>
  <dataValidations count="2">
    <dataValidation type="list" sqref="E4" xr:uid="{00000000-0002-0000-0100-000000000000}">
      <formula1>"AUTO,MANUELL"</formula1>
    </dataValidation>
    <dataValidation type="list" sqref="E5" xr:uid="{00000000-0002-0000-0100-000001000000}">
      <formula1>"KALIBRERT,KONSTANT"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5"/>
  <sheetViews>
    <sheetView workbookViewId="0">
      <selection activeCell="H12" sqref="H12"/>
    </sheetView>
  </sheetViews>
  <sheetFormatPr baseColWidth="10" defaultColWidth="8.88671875" defaultRowHeight="14.4" x14ac:dyDescent="0.3"/>
  <cols>
    <col min="1" max="1" width="25.5546875" customWidth="1"/>
    <col min="2" max="2" width="12" customWidth="1"/>
    <col min="3" max="3" width="14" customWidth="1"/>
    <col min="4" max="4" width="25.21875" customWidth="1"/>
    <col min="5" max="5" width="18" customWidth="1"/>
    <col min="6" max="6" width="20" customWidth="1"/>
    <col min="7" max="7" width="14" customWidth="1"/>
    <col min="8" max="8" width="11" customWidth="1"/>
    <col min="9" max="9" width="10" customWidth="1"/>
    <col min="10" max="10" width="19" customWidth="1"/>
    <col min="11" max="11" width="10" customWidth="1"/>
    <col min="12" max="12" width="13" customWidth="1"/>
    <col min="13" max="13" width="12" customWidth="1"/>
    <col min="14" max="16" width="10" customWidth="1"/>
    <col min="17" max="17" width="16" customWidth="1"/>
    <col min="18" max="18" width="17" customWidth="1"/>
    <col min="19" max="23" width="14" customWidth="1"/>
  </cols>
  <sheetData>
    <row r="1" spans="1:6" ht="18" customHeight="1" x14ac:dyDescent="0.35">
      <c r="A1" s="1" t="s">
        <v>53</v>
      </c>
    </row>
    <row r="3" spans="1:6" x14ac:dyDescent="0.3">
      <c r="A3" s="2" t="s">
        <v>15</v>
      </c>
      <c r="D3" t="s">
        <v>16</v>
      </c>
    </row>
    <row r="4" spans="1:6" x14ac:dyDescent="0.3">
      <c r="A4" s="4" t="s">
        <v>17</v>
      </c>
      <c r="B4" s="11">
        <v>10</v>
      </c>
      <c r="D4" t="s">
        <v>18</v>
      </c>
      <c r="E4" t="s">
        <v>19</v>
      </c>
    </row>
    <row r="5" spans="1:6" x14ac:dyDescent="0.3">
      <c r="A5" s="4" t="s">
        <v>20</v>
      </c>
      <c r="B5" s="11">
        <v>2900</v>
      </c>
      <c r="D5" t="s">
        <v>21</v>
      </c>
      <c r="E5" t="s">
        <v>22</v>
      </c>
    </row>
    <row r="6" spans="1:6" x14ac:dyDescent="0.3">
      <c r="A6" s="4" t="s">
        <v>23</v>
      </c>
      <c r="B6" s="12">
        <v>0.03</v>
      </c>
      <c r="D6" t="s">
        <v>24</v>
      </c>
      <c r="E6" s="13">
        <v>7502.554007811359</v>
      </c>
    </row>
    <row r="7" spans="1:6" x14ac:dyDescent="0.3">
      <c r="A7" s="4" t="s">
        <v>25</v>
      </c>
      <c r="B7" s="12">
        <v>0.02</v>
      </c>
      <c r="D7" t="s">
        <v>26</v>
      </c>
      <c r="E7" s="14">
        <v>0</v>
      </c>
    </row>
    <row r="8" spans="1:6" x14ac:dyDescent="0.3">
      <c r="A8" s="4" t="s">
        <v>27</v>
      </c>
      <c r="B8" s="12">
        <v>0.12</v>
      </c>
      <c r="D8" t="s">
        <v>28</v>
      </c>
      <c r="E8" s="14">
        <v>1</v>
      </c>
    </row>
    <row r="9" spans="1:6" x14ac:dyDescent="0.3">
      <c r="A9" s="4" t="s">
        <v>29</v>
      </c>
      <c r="B9" s="11">
        <v>8000000</v>
      </c>
      <c r="D9" t="s">
        <v>30</v>
      </c>
      <c r="E9" s="15">
        <v>0</v>
      </c>
    </row>
    <row r="10" spans="1:6" x14ac:dyDescent="0.3">
      <c r="D10" t="s">
        <v>31</v>
      </c>
      <c r="E10" s="13">
        <f>AVERAGE(U20:U31)</f>
        <v>7502.55400781136</v>
      </c>
    </row>
    <row r="11" spans="1:6" x14ac:dyDescent="0.3">
      <c r="A11" s="2" t="s">
        <v>32</v>
      </c>
      <c r="D11" t="s">
        <v>33</v>
      </c>
      <c r="E11" s="16">
        <f>IF($E$5="KALIBRERT",IF($E$10&gt;0,$E$6/$E$10,1),1)</f>
        <v>0.99999999999999989</v>
      </c>
    </row>
    <row r="12" spans="1:6" ht="28.05" customHeight="1" x14ac:dyDescent="0.3">
      <c r="A12" s="3" t="s">
        <v>4</v>
      </c>
      <c r="B12" s="3" t="s">
        <v>5</v>
      </c>
      <c r="C12" s="3" t="s">
        <v>6</v>
      </c>
      <c r="D12" s="3" t="s">
        <v>7</v>
      </c>
      <c r="E12" s="3" t="s">
        <v>8</v>
      </c>
      <c r="F12" s="3" t="s">
        <v>9</v>
      </c>
    </row>
    <row r="13" spans="1:6" x14ac:dyDescent="0.3">
      <c r="A13" s="7">
        <v>2026</v>
      </c>
      <c r="B13" s="8">
        <f>SUM(H20:H31)</f>
        <v>2401198.8608497512</v>
      </c>
      <c r="C13" s="8">
        <f>G31*12</f>
        <v>4799287.2655542465</v>
      </c>
      <c r="D13" s="8">
        <f>SUM(O20:O31)</f>
        <v>-2486945.0024522189</v>
      </c>
      <c r="E13" s="9">
        <f>E31</f>
        <v>134.22395945390807</v>
      </c>
      <c r="F13" s="8">
        <f>S31</f>
        <v>5273054.9975477811</v>
      </c>
    </row>
    <row r="14" spans="1:6" x14ac:dyDescent="0.3">
      <c r="A14" s="7">
        <v>2027</v>
      </c>
      <c r="B14" s="8">
        <f>SUM(H32:H43)</f>
        <v>9552510.083410332</v>
      </c>
      <c r="C14" s="8">
        <f>G43*12</f>
        <v>14528422.491682805</v>
      </c>
      <c r="D14" s="8">
        <f>SUM(O32:O43)</f>
        <v>-383791.12659890752</v>
      </c>
      <c r="E14" s="9">
        <f>E43</f>
        <v>394.48867153873016</v>
      </c>
      <c r="F14" s="8">
        <f>S43</f>
        <v>4709263.8709488735</v>
      </c>
    </row>
    <row r="15" spans="1:6" x14ac:dyDescent="0.3">
      <c r="A15" s="7">
        <v>2028</v>
      </c>
      <c r="B15" s="8">
        <f>SUM(H44:H55)</f>
        <v>22625865.132783018</v>
      </c>
      <c r="C15" s="8">
        <f>G55*12</f>
        <v>30491624.95635049</v>
      </c>
      <c r="D15" s="8">
        <f>SUM(O44:O55)</f>
        <v>5960761.3168490557</v>
      </c>
      <c r="E15" s="9">
        <f>E55</f>
        <v>803.82113321930331</v>
      </c>
      <c r="F15" s="8">
        <f>S55</f>
        <v>10550025.18779793</v>
      </c>
    </row>
    <row r="18" spans="1:23" x14ac:dyDescent="0.3">
      <c r="A18" s="2" t="s">
        <v>34</v>
      </c>
    </row>
    <row r="19" spans="1:23" ht="30.6" customHeight="1" x14ac:dyDescent="0.3">
      <c r="A19" s="3" t="s">
        <v>11</v>
      </c>
      <c r="B19" s="3" t="s">
        <v>35</v>
      </c>
      <c r="C19" s="3" t="s">
        <v>36</v>
      </c>
      <c r="D19" s="3" t="s">
        <v>37</v>
      </c>
      <c r="E19" s="3" t="s">
        <v>38</v>
      </c>
      <c r="F19" s="3" t="s">
        <v>39</v>
      </c>
      <c r="G19" s="3" t="s">
        <v>12</v>
      </c>
      <c r="H19" s="3" t="s">
        <v>5</v>
      </c>
      <c r="I19" s="3" t="s">
        <v>40</v>
      </c>
      <c r="J19" s="3" t="s">
        <v>41</v>
      </c>
      <c r="K19" s="3" t="s">
        <v>42</v>
      </c>
      <c r="L19" s="3" t="s">
        <v>43</v>
      </c>
      <c r="M19" s="3" t="s">
        <v>44</v>
      </c>
      <c r="N19" s="3" t="s">
        <v>45</v>
      </c>
      <c r="O19" s="3" t="s">
        <v>7</v>
      </c>
      <c r="P19" s="3" t="s">
        <v>46</v>
      </c>
      <c r="Q19" s="3" t="s">
        <v>47</v>
      </c>
      <c r="R19" s="3" t="s">
        <v>48</v>
      </c>
      <c r="S19" s="3" t="s">
        <v>13</v>
      </c>
      <c r="T19" s="3" t="s">
        <v>49</v>
      </c>
      <c r="U19" s="3" t="s">
        <v>50</v>
      </c>
      <c r="V19" s="3" t="s">
        <v>51</v>
      </c>
      <c r="W19" s="3" t="s">
        <v>52</v>
      </c>
    </row>
    <row r="20" spans="1:23" x14ac:dyDescent="0.3">
      <c r="A20" s="10">
        <v>46023</v>
      </c>
      <c r="B20" s="9">
        <f>$B$4</f>
        <v>10</v>
      </c>
      <c r="C20" s="9">
        <f t="shared" ref="C20:C55" si="0">IF($E$4="MANUELL",W20,IF(V20&gt;0,MAX($E$9,ROUND(T20/V20,0)),0))</f>
        <v>6</v>
      </c>
      <c r="D20" s="9">
        <f t="shared" ref="D20:D55" si="1">B20*$B$7</f>
        <v>0.2</v>
      </c>
      <c r="E20" s="9">
        <f t="shared" ref="E20:E55" si="2">B20+C20-D20</f>
        <v>15.8</v>
      </c>
      <c r="F20" s="8">
        <f>$B$5</f>
        <v>2900</v>
      </c>
      <c r="G20" s="8">
        <f t="shared" ref="G20:G55" si="3">E20*F20</f>
        <v>45820</v>
      </c>
      <c r="H20" s="8">
        <f t="shared" ref="H20:H55" si="4">G20</f>
        <v>45820</v>
      </c>
      <c r="I20" s="8">
        <f t="shared" ref="I20:I55" si="5">H20*$B$8</f>
        <v>5498.4</v>
      </c>
      <c r="J20" s="8">
        <f t="shared" ref="J20:J55" si="6">H20-I20</f>
        <v>40321.599999999999</v>
      </c>
      <c r="K20" s="8">
        <v>160000</v>
      </c>
      <c r="L20" s="8">
        <v>50000</v>
      </c>
      <c r="M20" s="8">
        <v>40000</v>
      </c>
      <c r="N20" s="8">
        <f t="shared" ref="N20:N55" si="7">K20+L20+M20</f>
        <v>250000</v>
      </c>
      <c r="O20" s="8">
        <f t="shared" ref="O20:O55" si="8">J20-N20</f>
        <v>-209678.4</v>
      </c>
      <c r="P20" s="8">
        <v>20000</v>
      </c>
      <c r="Q20" s="8">
        <f t="shared" ref="Q20:Q55" si="9">O20-P20</f>
        <v>-229678.4</v>
      </c>
      <c r="R20" s="8">
        <f>$B$9</f>
        <v>8000000</v>
      </c>
      <c r="S20" s="8">
        <f t="shared" ref="S20:S55" si="10">R20+Q20</f>
        <v>7770321.5999999996</v>
      </c>
      <c r="T20" s="8">
        <f t="shared" ref="T20:T55" si="11">L20*$E$8</f>
        <v>50000</v>
      </c>
      <c r="U20" s="8">
        <v>8333.3333333333339</v>
      </c>
      <c r="V20" s="8">
        <f t="shared" ref="V20:V55" si="12">IF($E$5="KONSTANT",$E$6*POWER(1+$E$7,ROW()-20),U20*$E$11*POWER(1+$E$7,ROW()-20))</f>
        <v>8333.3333333333321</v>
      </c>
      <c r="W20" s="8">
        <v>6</v>
      </c>
    </row>
    <row r="21" spans="1:23" x14ac:dyDescent="0.3">
      <c r="A21" s="10">
        <v>46054</v>
      </c>
      <c r="B21" s="9">
        <f t="shared" ref="B21:B55" si="13">E20</f>
        <v>15.8</v>
      </c>
      <c r="C21" s="9">
        <f t="shared" si="0"/>
        <v>7</v>
      </c>
      <c r="D21" s="9">
        <f t="shared" si="1"/>
        <v>0.316</v>
      </c>
      <c r="E21" s="9">
        <f t="shared" si="2"/>
        <v>22.484000000000002</v>
      </c>
      <c r="F21" s="8">
        <f t="shared" ref="F21:F55" si="14">F20*POWER(1+$B$6,1/12)</f>
        <v>2907.1521823396806</v>
      </c>
      <c r="G21" s="8">
        <f t="shared" si="3"/>
        <v>65364.409667725384</v>
      </c>
      <c r="H21" s="8">
        <f t="shared" si="4"/>
        <v>65364.409667725384</v>
      </c>
      <c r="I21" s="8">
        <f t="shared" si="5"/>
        <v>7843.7291601270454</v>
      </c>
      <c r="J21" s="8">
        <f t="shared" si="6"/>
        <v>57520.680507598336</v>
      </c>
      <c r="K21" s="8">
        <v>160000</v>
      </c>
      <c r="L21" s="8">
        <v>56400</v>
      </c>
      <c r="M21" s="8">
        <v>42700</v>
      </c>
      <c r="N21" s="8">
        <f t="shared" si="7"/>
        <v>259100</v>
      </c>
      <c r="O21" s="8">
        <f t="shared" si="8"/>
        <v>-201579.31949240167</v>
      </c>
      <c r="P21" s="8">
        <v>20000</v>
      </c>
      <c r="Q21" s="8">
        <f t="shared" si="9"/>
        <v>-221579.31949240167</v>
      </c>
      <c r="R21" s="8">
        <f t="shared" ref="R21:R55" si="15">S20</f>
        <v>7770321.5999999996</v>
      </c>
      <c r="S21" s="8">
        <f t="shared" si="10"/>
        <v>7548742.2805075981</v>
      </c>
      <c r="T21" s="8">
        <f t="shared" si="11"/>
        <v>56400</v>
      </c>
      <c r="U21" s="8">
        <v>8057.1428571428569</v>
      </c>
      <c r="V21" s="8">
        <f t="shared" si="12"/>
        <v>8057.142857142856</v>
      </c>
      <c r="W21" s="8">
        <v>7</v>
      </c>
    </row>
    <row r="22" spans="1:23" x14ac:dyDescent="0.3">
      <c r="A22" s="10">
        <v>46082</v>
      </c>
      <c r="B22" s="9">
        <f t="shared" si="13"/>
        <v>22.484000000000002</v>
      </c>
      <c r="C22" s="9">
        <f t="shared" si="0"/>
        <v>8</v>
      </c>
      <c r="D22" s="9">
        <f t="shared" si="1"/>
        <v>0.44968000000000002</v>
      </c>
      <c r="E22" s="9">
        <f t="shared" si="2"/>
        <v>30.034320000000001</v>
      </c>
      <c r="F22" s="8">
        <f t="shared" si="14"/>
        <v>2914.3220038904715</v>
      </c>
      <c r="G22" s="8">
        <f t="shared" si="3"/>
        <v>87529.679647887664</v>
      </c>
      <c r="H22" s="8">
        <f t="shared" si="4"/>
        <v>87529.679647887664</v>
      </c>
      <c r="I22" s="8">
        <f t="shared" si="5"/>
        <v>10503.56155774652</v>
      </c>
      <c r="J22" s="8">
        <f t="shared" si="6"/>
        <v>77026.118090141143</v>
      </c>
      <c r="K22" s="8">
        <v>160000</v>
      </c>
      <c r="L22" s="8">
        <v>62700</v>
      </c>
      <c r="M22" s="8">
        <v>45500</v>
      </c>
      <c r="N22" s="8">
        <f t="shared" si="7"/>
        <v>268200</v>
      </c>
      <c r="O22" s="8">
        <f t="shared" si="8"/>
        <v>-191173.88190985884</v>
      </c>
      <c r="P22" s="8">
        <v>20000</v>
      </c>
      <c r="Q22" s="8">
        <f t="shared" si="9"/>
        <v>-211173.88190985884</v>
      </c>
      <c r="R22" s="8">
        <f t="shared" si="15"/>
        <v>7548742.2805075981</v>
      </c>
      <c r="S22" s="8">
        <f t="shared" si="10"/>
        <v>7337568.3985977396</v>
      </c>
      <c r="T22" s="8">
        <f t="shared" si="11"/>
        <v>62700</v>
      </c>
      <c r="U22" s="8">
        <v>7837.5</v>
      </c>
      <c r="V22" s="8">
        <f t="shared" si="12"/>
        <v>7837.4999999999991</v>
      </c>
      <c r="W22" s="8">
        <v>8</v>
      </c>
    </row>
    <row r="23" spans="1:23" x14ac:dyDescent="0.3">
      <c r="A23" s="10">
        <v>46113</v>
      </c>
      <c r="B23" s="9">
        <f t="shared" si="13"/>
        <v>30.034320000000001</v>
      </c>
      <c r="C23" s="9">
        <f t="shared" si="0"/>
        <v>9</v>
      </c>
      <c r="D23" s="9">
        <f t="shared" si="1"/>
        <v>0.60068640000000006</v>
      </c>
      <c r="E23" s="9">
        <f t="shared" si="2"/>
        <v>38.4336336</v>
      </c>
      <c r="F23" s="8">
        <f t="shared" si="14"/>
        <v>2921.5095081554259</v>
      </c>
      <c r="G23" s="8">
        <f t="shared" si="3"/>
        <v>112284.22599536185</v>
      </c>
      <c r="H23" s="8">
        <f t="shared" si="4"/>
        <v>112284.22599536185</v>
      </c>
      <c r="I23" s="8">
        <f t="shared" si="5"/>
        <v>13474.107119443421</v>
      </c>
      <c r="J23" s="8">
        <f t="shared" si="6"/>
        <v>98810.11887591843</v>
      </c>
      <c r="K23" s="8">
        <v>240000</v>
      </c>
      <c r="L23" s="8">
        <v>69100</v>
      </c>
      <c r="M23" s="8">
        <v>48200</v>
      </c>
      <c r="N23" s="8">
        <f t="shared" si="7"/>
        <v>357300</v>
      </c>
      <c r="O23" s="8">
        <f t="shared" si="8"/>
        <v>-258489.88112408156</v>
      </c>
      <c r="P23" s="8">
        <v>20000</v>
      </c>
      <c r="Q23" s="8">
        <f t="shared" si="9"/>
        <v>-278489.88112408156</v>
      </c>
      <c r="R23" s="8">
        <f t="shared" si="15"/>
        <v>7337568.3985977396</v>
      </c>
      <c r="S23" s="8">
        <f t="shared" si="10"/>
        <v>7059078.5174736585</v>
      </c>
      <c r="T23" s="8">
        <f t="shared" si="11"/>
        <v>69100</v>
      </c>
      <c r="U23" s="8">
        <v>7677.7777777777774</v>
      </c>
      <c r="V23" s="8">
        <f t="shared" si="12"/>
        <v>7677.7777777777765</v>
      </c>
      <c r="W23" s="8">
        <v>9</v>
      </c>
    </row>
    <row r="24" spans="1:23" x14ac:dyDescent="0.3">
      <c r="A24" s="10">
        <v>46143</v>
      </c>
      <c r="B24" s="9">
        <f t="shared" si="13"/>
        <v>38.4336336</v>
      </c>
      <c r="C24" s="9">
        <f t="shared" si="0"/>
        <v>10</v>
      </c>
      <c r="D24" s="9">
        <f t="shared" si="1"/>
        <v>0.768672672</v>
      </c>
      <c r="E24" s="9">
        <f t="shared" si="2"/>
        <v>47.664960927999999</v>
      </c>
      <c r="F24" s="8">
        <f t="shared" si="14"/>
        <v>2928.7147387448877</v>
      </c>
      <c r="G24" s="8">
        <f t="shared" si="3"/>
        <v>139597.0735915328</v>
      </c>
      <c r="H24" s="8">
        <f t="shared" si="4"/>
        <v>139597.0735915328</v>
      </c>
      <c r="I24" s="8">
        <f t="shared" si="5"/>
        <v>16751.648830983933</v>
      </c>
      <c r="J24" s="8">
        <f t="shared" si="6"/>
        <v>122845.42476054886</v>
      </c>
      <c r="K24" s="8">
        <v>240000</v>
      </c>
      <c r="L24" s="8">
        <v>75500</v>
      </c>
      <c r="M24" s="8">
        <v>50900</v>
      </c>
      <c r="N24" s="8">
        <f t="shared" si="7"/>
        <v>366400</v>
      </c>
      <c r="O24" s="8">
        <f t="shared" si="8"/>
        <v>-243554.57523945114</v>
      </c>
      <c r="P24" s="8">
        <v>20000</v>
      </c>
      <c r="Q24" s="8">
        <f t="shared" si="9"/>
        <v>-263554.57523945114</v>
      </c>
      <c r="R24" s="8">
        <f t="shared" si="15"/>
        <v>7059078.5174736585</v>
      </c>
      <c r="S24" s="8">
        <f t="shared" si="10"/>
        <v>6795523.9422342069</v>
      </c>
      <c r="T24" s="8">
        <f t="shared" si="11"/>
        <v>75500</v>
      </c>
      <c r="U24" s="8">
        <v>7550</v>
      </c>
      <c r="V24" s="8">
        <f t="shared" si="12"/>
        <v>7549.9999999999991</v>
      </c>
      <c r="W24" s="8">
        <v>10</v>
      </c>
    </row>
    <row r="25" spans="1:23" x14ac:dyDescent="0.3">
      <c r="A25" s="10">
        <v>46174</v>
      </c>
      <c r="B25" s="9">
        <f t="shared" si="13"/>
        <v>47.664960927999999</v>
      </c>
      <c r="C25" s="9">
        <f t="shared" si="0"/>
        <v>11</v>
      </c>
      <c r="D25" s="9">
        <f t="shared" si="1"/>
        <v>0.95329921855999999</v>
      </c>
      <c r="E25" s="9">
        <f t="shared" si="2"/>
        <v>57.711661709440001</v>
      </c>
      <c r="F25" s="8">
        <f t="shared" si="14"/>
        <v>2935.9377393767545</v>
      </c>
      <c r="G25" s="8">
        <f t="shared" si="3"/>
        <v>169437.84561488929</v>
      </c>
      <c r="H25" s="8">
        <f t="shared" si="4"/>
        <v>169437.84561488929</v>
      </c>
      <c r="I25" s="8">
        <f t="shared" si="5"/>
        <v>20332.541473786714</v>
      </c>
      <c r="J25" s="8">
        <f t="shared" si="6"/>
        <v>149105.30414110256</v>
      </c>
      <c r="K25" s="8">
        <v>240000</v>
      </c>
      <c r="L25" s="8">
        <v>81800</v>
      </c>
      <c r="M25" s="8">
        <v>53600</v>
      </c>
      <c r="N25" s="8">
        <f t="shared" si="7"/>
        <v>375400</v>
      </c>
      <c r="O25" s="8">
        <f t="shared" si="8"/>
        <v>-226294.69585889744</v>
      </c>
      <c r="P25" s="8">
        <v>20000</v>
      </c>
      <c r="Q25" s="8">
        <f t="shared" si="9"/>
        <v>-246294.69585889744</v>
      </c>
      <c r="R25" s="8">
        <f t="shared" si="15"/>
        <v>6795523.9422342069</v>
      </c>
      <c r="S25" s="8">
        <f t="shared" si="10"/>
        <v>6549229.2463753093</v>
      </c>
      <c r="T25" s="8">
        <f t="shared" si="11"/>
        <v>81800</v>
      </c>
      <c r="U25" s="8">
        <v>7436.363636363636</v>
      </c>
      <c r="V25" s="8">
        <f t="shared" si="12"/>
        <v>7436.3636363636351</v>
      </c>
      <c r="W25" s="8">
        <v>11</v>
      </c>
    </row>
    <row r="26" spans="1:23" x14ac:dyDescent="0.3">
      <c r="A26" s="10">
        <v>46204</v>
      </c>
      <c r="B26" s="9">
        <f t="shared" si="13"/>
        <v>57.711661709440001</v>
      </c>
      <c r="C26" s="9">
        <f t="shared" si="0"/>
        <v>12</v>
      </c>
      <c r="D26" s="9">
        <f t="shared" si="1"/>
        <v>1.1542332341888</v>
      </c>
      <c r="E26" s="9">
        <f t="shared" si="2"/>
        <v>68.5574284752512</v>
      </c>
      <c r="F26" s="8">
        <f t="shared" si="14"/>
        <v>2943.1785538767449</v>
      </c>
      <c r="G26" s="8">
        <f t="shared" si="3"/>
        <v>201776.75319729821</v>
      </c>
      <c r="H26" s="8">
        <f t="shared" si="4"/>
        <v>201776.75319729821</v>
      </c>
      <c r="I26" s="8">
        <f t="shared" si="5"/>
        <v>24213.210383675785</v>
      </c>
      <c r="J26" s="8">
        <f t="shared" si="6"/>
        <v>177563.54281362242</v>
      </c>
      <c r="K26" s="8">
        <v>240000</v>
      </c>
      <c r="L26" s="8">
        <v>88200</v>
      </c>
      <c r="M26" s="8">
        <v>56400</v>
      </c>
      <c r="N26" s="8">
        <f t="shared" si="7"/>
        <v>384600</v>
      </c>
      <c r="O26" s="8">
        <f t="shared" si="8"/>
        <v>-207036.45718637758</v>
      </c>
      <c r="P26" s="8">
        <v>20000</v>
      </c>
      <c r="Q26" s="8">
        <f t="shared" si="9"/>
        <v>-227036.45718637758</v>
      </c>
      <c r="R26" s="8">
        <f t="shared" si="15"/>
        <v>6549229.2463753093</v>
      </c>
      <c r="S26" s="8">
        <f t="shared" si="10"/>
        <v>6322192.7891889317</v>
      </c>
      <c r="T26" s="8">
        <f t="shared" si="11"/>
        <v>88200</v>
      </c>
      <c r="U26" s="8">
        <v>7350</v>
      </c>
      <c r="V26" s="8">
        <f t="shared" si="12"/>
        <v>7349.9999999999991</v>
      </c>
      <c r="W26" s="8">
        <v>12</v>
      </c>
    </row>
    <row r="27" spans="1:23" x14ac:dyDescent="0.3">
      <c r="A27" s="10">
        <v>46235</v>
      </c>
      <c r="B27" s="9">
        <f t="shared" si="13"/>
        <v>68.5574284752512</v>
      </c>
      <c r="C27" s="9">
        <f t="shared" si="0"/>
        <v>13</v>
      </c>
      <c r="D27" s="9">
        <f t="shared" si="1"/>
        <v>1.3711485695050241</v>
      </c>
      <c r="E27" s="9">
        <f t="shared" si="2"/>
        <v>80.186279905746176</v>
      </c>
      <c r="F27" s="8">
        <f t="shared" si="14"/>
        <v>2950.4372261786634</v>
      </c>
      <c r="G27" s="8">
        <f t="shared" si="3"/>
        <v>236584.58526269565</v>
      </c>
      <c r="H27" s="8">
        <f t="shared" si="4"/>
        <v>236584.58526269565</v>
      </c>
      <c r="I27" s="8">
        <f t="shared" si="5"/>
        <v>28390.150231523476</v>
      </c>
      <c r="J27" s="8">
        <f t="shared" si="6"/>
        <v>208194.43503117218</v>
      </c>
      <c r="K27" s="8">
        <v>240000</v>
      </c>
      <c r="L27" s="8">
        <v>94500</v>
      </c>
      <c r="M27" s="8">
        <v>59100</v>
      </c>
      <c r="N27" s="8">
        <f t="shared" si="7"/>
        <v>393600</v>
      </c>
      <c r="O27" s="8">
        <f t="shared" si="8"/>
        <v>-185405.56496882782</v>
      </c>
      <c r="P27" s="8">
        <v>20000</v>
      </c>
      <c r="Q27" s="8">
        <f t="shared" si="9"/>
        <v>-205405.56496882782</v>
      </c>
      <c r="R27" s="8">
        <f t="shared" si="15"/>
        <v>6322192.7891889317</v>
      </c>
      <c r="S27" s="8">
        <f t="shared" si="10"/>
        <v>6116787.2242201036</v>
      </c>
      <c r="T27" s="8">
        <f t="shared" si="11"/>
        <v>94500</v>
      </c>
      <c r="U27" s="8">
        <v>7269.2307692307704</v>
      </c>
      <c r="V27" s="8">
        <f t="shared" si="12"/>
        <v>7269.2307692307695</v>
      </c>
      <c r="W27" s="8">
        <v>13</v>
      </c>
    </row>
    <row r="28" spans="1:23" x14ac:dyDescent="0.3">
      <c r="A28" s="10">
        <v>46266</v>
      </c>
      <c r="B28" s="9">
        <f t="shared" si="13"/>
        <v>80.186279905746176</v>
      </c>
      <c r="C28" s="9">
        <f t="shared" si="0"/>
        <v>14</v>
      </c>
      <c r="D28" s="9">
        <f t="shared" si="1"/>
        <v>1.6037255981149237</v>
      </c>
      <c r="E28" s="9">
        <f t="shared" si="2"/>
        <v>92.582554307631256</v>
      </c>
      <c r="F28" s="8">
        <f t="shared" si="14"/>
        <v>2957.7138003246673</v>
      </c>
      <c r="G28" s="8">
        <f t="shared" si="3"/>
        <v>273832.69854498893</v>
      </c>
      <c r="H28" s="8">
        <f t="shared" si="4"/>
        <v>273832.69854498893</v>
      </c>
      <c r="I28" s="8">
        <f t="shared" si="5"/>
        <v>32859.92382539867</v>
      </c>
      <c r="J28" s="8">
        <f t="shared" si="6"/>
        <v>240972.77471959026</v>
      </c>
      <c r="K28" s="8">
        <v>310000</v>
      </c>
      <c r="L28" s="8">
        <v>100900</v>
      </c>
      <c r="M28" s="8">
        <v>61800</v>
      </c>
      <c r="N28" s="8">
        <f t="shared" si="7"/>
        <v>472700</v>
      </c>
      <c r="O28" s="8">
        <f t="shared" si="8"/>
        <v>-231727.22528040974</v>
      </c>
      <c r="P28" s="8">
        <v>20000</v>
      </c>
      <c r="Q28" s="8">
        <f t="shared" si="9"/>
        <v>-251727.22528040974</v>
      </c>
      <c r="R28" s="8">
        <f t="shared" si="15"/>
        <v>6116787.2242201036</v>
      </c>
      <c r="S28" s="8">
        <f t="shared" si="10"/>
        <v>5865059.9989396939</v>
      </c>
      <c r="T28" s="8">
        <f t="shared" si="11"/>
        <v>100900</v>
      </c>
      <c r="U28" s="8">
        <v>7207.1428571428569</v>
      </c>
      <c r="V28" s="8">
        <f t="shared" si="12"/>
        <v>7207.142857142856</v>
      </c>
      <c r="W28" s="8">
        <v>14</v>
      </c>
    </row>
    <row r="29" spans="1:23" x14ac:dyDescent="0.3">
      <c r="A29" s="10">
        <v>46296</v>
      </c>
      <c r="B29" s="9">
        <f t="shared" si="13"/>
        <v>92.582554307631256</v>
      </c>
      <c r="C29" s="9">
        <f t="shared" si="0"/>
        <v>15</v>
      </c>
      <c r="D29" s="9">
        <f t="shared" si="1"/>
        <v>1.8516510861526252</v>
      </c>
      <c r="E29" s="9">
        <f t="shared" si="2"/>
        <v>105.73090322147863</v>
      </c>
      <c r="F29" s="8">
        <f t="shared" si="14"/>
        <v>2965.0083204655334</v>
      </c>
      <c r="G29" s="8">
        <f t="shared" si="3"/>
        <v>313493.0077820202</v>
      </c>
      <c r="H29" s="8">
        <f t="shared" si="4"/>
        <v>313493.0077820202</v>
      </c>
      <c r="I29" s="8">
        <f t="shared" si="5"/>
        <v>37619.160933842424</v>
      </c>
      <c r="J29" s="8">
        <f t="shared" si="6"/>
        <v>275873.84684817778</v>
      </c>
      <c r="K29" s="8">
        <v>310000</v>
      </c>
      <c r="L29" s="8">
        <v>107300</v>
      </c>
      <c r="M29" s="8">
        <v>64500</v>
      </c>
      <c r="N29" s="8">
        <f t="shared" si="7"/>
        <v>481800</v>
      </c>
      <c r="O29" s="8">
        <f t="shared" si="8"/>
        <v>-205926.15315182222</v>
      </c>
      <c r="P29" s="8">
        <v>20000</v>
      </c>
      <c r="Q29" s="8">
        <f t="shared" si="9"/>
        <v>-225926.15315182222</v>
      </c>
      <c r="R29" s="8">
        <f t="shared" si="15"/>
        <v>5865059.9989396939</v>
      </c>
      <c r="S29" s="8">
        <f t="shared" si="10"/>
        <v>5639133.8457878716</v>
      </c>
      <c r="T29" s="8">
        <f t="shared" si="11"/>
        <v>107300</v>
      </c>
      <c r="U29" s="8">
        <v>7153.333333333333</v>
      </c>
      <c r="V29" s="8">
        <f t="shared" si="12"/>
        <v>7153.3333333333321</v>
      </c>
      <c r="W29" s="8">
        <v>15</v>
      </c>
    </row>
    <row r="30" spans="1:23" x14ac:dyDescent="0.3">
      <c r="A30" s="10">
        <v>46327</v>
      </c>
      <c r="B30" s="9">
        <f t="shared" si="13"/>
        <v>105.73090322147863</v>
      </c>
      <c r="C30" s="9">
        <f t="shared" si="0"/>
        <v>16</v>
      </c>
      <c r="D30" s="9">
        <f t="shared" si="1"/>
        <v>2.1146180644295725</v>
      </c>
      <c r="E30" s="9">
        <f t="shared" si="2"/>
        <v>119.61628515704905</v>
      </c>
      <c r="F30" s="8">
        <f t="shared" si="14"/>
        <v>2972.3208308609264</v>
      </c>
      <c r="G30" s="8">
        <f t="shared" si="3"/>
        <v>355537.97608249751</v>
      </c>
      <c r="H30" s="8">
        <f t="shared" si="4"/>
        <v>355537.97608249751</v>
      </c>
      <c r="I30" s="8">
        <f t="shared" si="5"/>
        <v>42664.557129899702</v>
      </c>
      <c r="J30" s="8">
        <f t="shared" si="6"/>
        <v>312873.41895259783</v>
      </c>
      <c r="K30" s="8">
        <v>310000</v>
      </c>
      <c r="L30" s="8">
        <v>113600</v>
      </c>
      <c r="M30" s="8">
        <v>67300</v>
      </c>
      <c r="N30" s="8">
        <f t="shared" si="7"/>
        <v>490900</v>
      </c>
      <c r="O30" s="8">
        <f t="shared" si="8"/>
        <v>-178026.58104740217</v>
      </c>
      <c r="P30" s="8">
        <v>20000</v>
      </c>
      <c r="Q30" s="8">
        <f t="shared" si="9"/>
        <v>-198026.58104740217</v>
      </c>
      <c r="R30" s="8">
        <f t="shared" si="15"/>
        <v>5639133.8457878716</v>
      </c>
      <c r="S30" s="8">
        <f t="shared" si="10"/>
        <v>5441107.2647404699</v>
      </c>
      <c r="T30" s="8">
        <f t="shared" si="11"/>
        <v>113600</v>
      </c>
      <c r="U30" s="8">
        <v>7100</v>
      </c>
      <c r="V30" s="8">
        <f t="shared" si="12"/>
        <v>7099.9999999999991</v>
      </c>
      <c r="W30" s="8">
        <v>16</v>
      </c>
    </row>
    <row r="31" spans="1:23" x14ac:dyDescent="0.3">
      <c r="A31" s="10">
        <v>46357</v>
      </c>
      <c r="B31" s="9">
        <f t="shared" si="13"/>
        <v>119.61628515704905</v>
      </c>
      <c r="C31" s="9">
        <f t="shared" si="0"/>
        <v>17</v>
      </c>
      <c r="D31" s="9">
        <f t="shared" si="1"/>
        <v>2.392325703140981</v>
      </c>
      <c r="E31" s="9">
        <f t="shared" si="2"/>
        <v>134.22395945390807</v>
      </c>
      <c r="F31" s="8">
        <f t="shared" si="14"/>
        <v>2979.6513758796673</v>
      </c>
      <c r="G31" s="8">
        <f t="shared" si="3"/>
        <v>399940.60546285385</v>
      </c>
      <c r="H31" s="8">
        <f t="shared" si="4"/>
        <v>399940.60546285385</v>
      </c>
      <c r="I31" s="8">
        <f t="shared" si="5"/>
        <v>47992.872655542458</v>
      </c>
      <c r="J31" s="8">
        <f t="shared" si="6"/>
        <v>351947.7328073114</v>
      </c>
      <c r="K31" s="8">
        <v>310000</v>
      </c>
      <c r="L31" s="8">
        <v>120000</v>
      </c>
      <c r="M31" s="8">
        <v>70000</v>
      </c>
      <c r="N31" s="8">
        <f t="shared" si="7"/>
        <v>500000</v>
      </c>
      <c r="O31" s="8">
        <f t="shared" si="8"/>
        <v>-148052.2671926886</v>
      </c>
      <c r="P31" s="8">
        <v>20000</v>
      </c>
      <c r="Q31" s="8">
        <f t="shared" si="9"/>
        <v>-168052.2671926886</v>
      </c>
      <c r="R31" s="8">
        <f t="shared" si="15"/>
        <v>5441107.2647404699</v>
      </c>
      <c r="S31" s="8">
        <f t="shared" si="10"/>
        <v>5273054.9975477811</v>
      </c>
      <c r="T31" s="8">
        <f t="shared" si="11"/>
        <v>120000</v>
      </c>
      <c r="U31" s="8">
        <v>7058.8235294117649</v>
      </c>
      <c r="V31" s="8">
        <f t="shared" si="12"/>
        <v>7058.823529411764</v>
      </c>
      <c r="W31" s="8">
        <v>17</v>
      </c>
    </row>
    <row r="32" spans="1:23" x14ac:dyDescent="0.3">
      <c r="A32" s="10">
        <v>46388</v>
      </c>
      <c r="B32" s="9">
        <f t="shared" si="13"/>
        <v>134.22395945390807</v>
      </c>
      <c r="C32" s="9">
        <f t="shared" si="0"/>
        <v>18</v>
      </c>
      <c r="D32" s="9">
        <f t="shared" si="1"/>
        <v>2.6844791890781612</v>
      </c>
      <c r="E32" s="9">
        <f t="shared" si="2"/>
        <v>149.5394802648299</v>
      </c>
      <c r="F32" s="8">
        <f t="shared" si="14"/>
        <v>2987.0000000000023</v>
      </c>
      <c r="G32" s="8">
        <f t="shared" si="3"/>
        <v>446674.42755104729</v>
      </c>
      <c r="H32" s="8">
        <f t="shared" si="4"/>
        <v>446674.42755104729</v>
      </c>
      <c r="I32" s="8">
        <f t="shared" si="5"/>
        <v>53600.931306125676</v>
      </c>
      <c r="J32" s="8">
        <f t="shared" si="6"/>
        <v>393073.49624492164</v>
      </c>
      <c r="K32" s="8">
        <v>420000</v>
      </c>
      <c r="L32" s="8">
        <v>130000</v>
      </c>
      <c r="M32" s="8">
        <v>75000</v>
      </c>
      <c r="N32" s="8">
        <f t="shared" si="7"/>
        <v>625000</v>
      </c>
      <c r="O32" s="8">
        <f t="shared" si="8"/>
        <v>-231926.50375507836</v>
      </c>
      <c r="P32" s="8">
        <v>15000</v>
      </c>
      <c r="Q32" s="8">
        <f t="shared" si="9"/>
        <v>-246926.50375507836</v>
      </c>
      <c r="R32" s="8">
        <f t="shared" si="15"/>
        <v>5273054.9975477811</v>
      </c>
      <c r="S32" s="8">
        <f t="shared" si="10"/>
        <v>5026128.4937927024</v>
      </c>
      <c r="T32" s="8">
        <f t="shared" si="11"/>
        <v>130000</v>
      </c>
      <c r="U32" s="8">
        <v>7222.2222222222226</v>
      </c>
      <c r="V32" s="8">
        <f t="shared" si="12"/>
        <v>7222.2222222222217</v>
      </c>
      <c r="W32" s="8">
        <v>18</v>
      </c>
    </row>
    <row r="33" spans="1:23" x14ac:dyDescent="0.3">
      <c r="A33" s="10">
        <v>46419</v>
      </c>
      <c r="B33" s="9">
        <f t="shared" si="13"/>
        <v>149.5394802648299</v>
      </c>
      <c r="C33" s="9">
        <f t="shared" si="0"/>
        <v>20</v>
      </c>
      <c r="D33" s="9">
        <f t="shared" si="1"/>
        <v>2.9907896052965981</v>
      </c>
      <c r="E33" s="9">
        <f t="shared" si="2"/>
        <v>166.54869065953329</v>
      </c>
      <c r="F33" s="8">
        <f t="shared" si="14"/>
        <v>2994.3667478098732</v>
      </c>
      <c r="G33" s="8">
        <f t="shared" si="3"/>
        <v>498707.86120217934</v>
      </c>
      <c r="H33" s="8">
        <f t="shared" si="4"/>
        <v>498707.86120217934</v>
      </c>
      <c r="I33" s="8">
        <f t="shared" si="5"/>
        <v>59844.943344261519</v>
      </c>
      <c r="J33" s="8">
        <f t="shared" si="6"/>
        <v>438862.91785791784</v>
      </c>
      <c r="K33" s="8">
        <v>420000</v>
      </c>
      <c r="L33" s="8">
        <v>138200</v>
      </c>
      <c r="M33" s="8">
        <v>77300</v>
      </c>
      <c r="N33" s="8">
        <f t="shared" si="7"/>
        <v>635500</v>
      </c>
      <c r="O33" s="8">
        <f t="shared" si="8"/>
        <v>-196637.08214208216</v>
      </c>
      <c r="P33" s="8">
        <v>15000</v>
      </c>
      <c r="Q33" s="8">
        <f t="shared" si="9"/>
        <v>-211637.08214208216</v>
      </c>
      <c r="R33" s="8">
        <f t="shared" si="15"/>
        <v>5026128.4937927024</v>
      </c>
      <c r="S33" s="8">
        <f t="shared" si="10"/>
        <v>4814491.4116506204</v>
      </c>
      <c r="T33" s="8">
        <f t="shared" si="11"/>
        <v>138200</v>
      </c>
      <c r="U33" s="8">
        <v>6910</v>
      </c>
      <c r="V33" s="8">
        <f t="shared" si="12"/>
        <v>6909.9999999999991</v>
      </c>
      <c r="W33" s="8">
        <v>20</v>
      </c>
    </row>
    <row r="34" spans="1:23" x14ac:dyDescent="0.3">
      <c r="A34" s="10">
        <v>46447</v>
      </c>
      <c r="B34" s="9">
        <f t="shared" si="13"/>
        <v>166.54869065953329</v>
      </c>
      <c r="C34" s="9">
        <f t="shared" si="0"/>
        <v>21</v>
      </c>
      <c r="D34" s="9">
        <f t="shared" si="1"/>
        <v>3.3309738131906661</v>
      </c>
      <c r="E34" s="9">
        <f t="shared" si="2"/>
        <v>184.21771684634263</v>
      </c>
      <c r="F34" s="8">
        <f t="shared" si="14"/>
        <v>3001.7516640071881</v>
      </c>
      <c r="G34" s="8">
        <f t="shared" si="3"/>
        <v>552975.83808311401</v>
      </c>
      <c r="H34" s="8">
        <f t="shared" si="4"/>
        <v>552975.83808311401</v>
      </c>
      <c r="I34" s="8">
        <f t="shared" si="5"/>
        <v>66357.100569973685</v>
      </c>
      <c r="J34" s="8">
        <f t="shared" si="6"/>
        <v>486618.73751314031</v>
      </c>
      <c r="K34" s="8">
        <v>420000</v>
      </c>
      <c r="L34" s="8">
        <v>146400</v>
      </c>
      <c r="M34" s="8">
        <v>79500</v>
      </c>
      <c r="N34" s="8">
        <f t="shared" si="7"/>
        <v>645900</v>
      </c>
      <c r="O34" s="8">
        <f t="shared" si="8"/>
        <v>-159281.26248685969</v>
      </c>
      <c r="P34" s="8">
        <v>15000</v>
      </c>
      <c r="Q34" s="8">
        <f t="shared" si="9"/>
        <v>-174281.26248685969</v>
      </c>
      <c r="R34" s="8">
        <f t="shared" si="15"/>
        <v>4814491.4116506204</v>
      </c>
      <c r="S34" s="8">
        <f t="shared" si="10"/>
        <v>4640210.1491637602</v>
      </c>
      <c r="T34" s="8">
        <f t="shared" si="11"/>
        <v>146400</v>
      </c>
      <c r="U34" s="8">
        <v>6971.4285714285716</v>
      </c>
      <c r="V34" s="8">
        <f t="shared" si="12"/>
        <v>6971.4285714285706</v>
      </c>
      <c r="W34" s="8">
        <v>21</v>
      </c>
    </row>
    <row r="35" spans="1:23" x14ac:dyDescent="0.3">
      <c r="A35" s="10">
        <v>46478</v>
      </c>
      <c r="B35" s="9">
        <f t="shared" si="13"/>
        <v>184.21771684634263</v>
      </c>
      <c r="C35" s="9">
        <f t="shared" si="0"/>
        <v>23</v>
      </c>
      <c r="D35" s="9">
        <f t="shared" si="1"/>
        <v>3.6843543369268525</v>
      </c>
      <c r="E35" s="9">
        <f t="shared" si="2"/>
        <v>203.53336250941578</v>
      </c>
      <c r="F35" s="8">
        <f t="shared" si="14"/>
        <v>3009.1547934000914</v>
      </c>
      <c r="G35" s="8">
        <f t="shared" si="3"/>
        <v>612463.39341204695</v>
      </c>
      <c r="H35" s="8">
        <f t="shared" si="4"/>
        <v>612463.39341204695</v>
      </c>
      <c r="I35" s="8">
        <f t="shared" si="5"/>
        <v>73495.607209445632</v>
      </c>
      <c r="J35" s="8">
        <f t="shared" si="6"/>
        <v>538967.78620260127</v>
      </c>
      <c r="K35" s="8">
        <v>420000</v>
      </c>
      <c r="L35" s="8">
        <v>154500</v>
      </c>
      <c r="M35" s="8">
        <v>81800</v>
      </c>
      <c r="N35" s="8">
        <f t="shared" si="7"/>
        <v>656300</v>
      </c>
      <c r="O35" s="8">
        <f t="shared" si="8"/>
        <v>-117332.21379739873</v>
      </c>
      <c r="P35" s="8">
        <v>15000</v>
      </c>
      <c r="Q35" s="8">
        <f t="shared" si="9"/>
        <v>-132332.21379739873</v>
      </c>
      <c r="R35" s="8">
        <f t="shared" si="15"/>
        <v>4640210.1491637602</v>
      </c>
      <c r="S35" s="8">
        <f t="shared" si="10"/>
        <v>4507877.9353663614</v>
      </c>
      <c r="T35" s="8">
        <f t="shared" si="11"/>
        <v>154500</v>
      </c>
      <c r="U35" s="8">
        <v>6717.391304347826</v>
      </c>
      <c r="V35" s="8">
        <f t="shared" si="12"/>
        <v>6717.3913043478251</v>
      </c>
      <c r="W35" s="8">
        <v>23</v>
      </c>
    </row>
    <row r="36" spans="1:23" x14ac:dyDescent="0.3">
      <c r="A36" s="10">
        <v>46508</v>
      </c>
      <c r="B36" s="9">
        <f t="shared" si="13"/>
        <v>203.53336250941578</v>
      </c>
      <c r="C36" s="9">
        <f t="shared" si="0"/>
        <v>24</v>
      </c>
      <c r="D36" s="9">
        <f t="shared" si="1"/>
        <v>4.0706672501883157</v>
      </c>
      <c r="E36" s="9">
        <f t="shared" si="2"/>
        <v>223.46269525922747</v>
      </c>
      <c r="F36" s="8">
        <f t="shared" si="14"/>
        <v>3016.5761809072369</v>
      </c>
      <c r="G36" s="8">
        <f t="shared" si="3"/>
        <v>674092.24384031817</v>
      </c>
      <c r="H36" s="8">
        <f t="shared" si="4"/>
        <v>674092.24384031817</v>
      </c>
      <c r="I36" s="8">
        <f t="shared" si="5"/>
        <v>80891.06926083818</v>
      </c>
      <c r="J36" s="8">
        <f t="shared" si="6"/>
        <v>593201.17457947996</v>
      </c>
      <c r="K36" s="8">
        <v>420000</v>
      </c>
      <c r="L36" s="8">
        <v>162700</v>
      </c>
      <c r="M36" s="8">
        <v>84100</v>
      </c>
      <c r="N36" s="8">
        <f t="shared" si="7"/>
        <v>666800</v>
      </c>
      <c r="O36" s="8">
        <f t="shared" si="8"/>
        <v>-73598.825420520036</v>
      </c>
      <c r="P36" s="8">
        <v>15000</v>
      </c>
      <c r="Q36" s="8">
        <f t="shared" si="9"/>
        <v>-88598.825420520036</v>
      </c>
      <c r="R36" s="8">
        <f t="shared" si="15"/>
        <v>4507877.9353663614</v>
      </c>
      <c r="S36" s="8">
        <f t="shared" si="10"/>
        <v>4419279.1099458411</v>
      </c>
      <c r="T36" s="8">
        <f t="shared" si="11"/>
        <v>162700</v>
      </c>
      <c r="U36" s="8">
        <v>6779.166666666667</v>
      </c>
      <c r="V36" s="8">
        <f t="shared" si="12"/>
        <v>6779.1666666666661</v>
      </c>
      <c r="W36" s="8">
        <v>24</v>
      </c>
    </row>
    <row r="37" spans="1:23" x14ac:dyDescent="0.3">
      <c r="A37" s="10">
        <v>46539</v>
      </c>
      <c r="B37" s="9">
        <f t="shared" si="13"/>
        <v>223.46269525922747</v>
      </c>
      <c r="C37" s="9">
        <f t="shared" si="0"/>
        <v>26</v>
      </c>
      <c r="D37" s="9">
        <f t="shared" si="1"/>
        <v>4.4692539051845497</v>
      </c>
      <c r="E37" s="9">
        <f t="shared" si="2"/>
        <v>244.99344135404291</v>
      </c>
      <c r="F37" s="8">
        <f t="shared" si="14"/>
        <v>3024.0158715580596</v>
      </c>
      <c r="G37" s="8">
        <f t="shared" si="3"/>
        <v>740864.05508225446</v>
      </c>
      <c r="H37" s="8">
        <f t="shared" si="4"/>
        <v>740864.05508225446</v>
      </c>
      <c r="I37" s="8">
        <f t="shared" si="5"/>
        <v>88903.686609870536</v>
      </c>
      <c r="J37" s="8">
        <f t="shared" si="6"/>
        <v>651960.36847238394</v>
      </c>
      <c r="K37" s="8">
        <v>420000</v>
      </c>
      <c r="L37" s="8">
        <v>170900</v>
      </c>
      <c r="M37" s="8">
        <v>86400</v>
      </c>
      <c r="N37" s="8">
        <f t="shared" si="7"/>
        <v>677300</v>
      </c>
      <c r="O37" s="8">
        <f t="shared" si="8"/>
        <v>-25339.63152761606</v>
      </c>
      <c r="P37" s="8">
        <v>15000</v>
      </c>
      <c r="Q37" s="8">
        <f t="shared" si="9"/>
        <v>-40339.63152761606</v>
      </c>
      <c r="R37" s="8">
        <f t="shared" si="15"/>
        <v>4419279.1099458411</v>
      </c>
      <c r="S37" s="8">
        <f t="shared" si="10"/>
        <v>4378939.4784182254</v>
      </c>
      <c r="T37" s="8">
        <f t="shared" si="11"/>
        <v>170900</v>
      </c>
      <c r="U37" s="8">
        <v>6573.0769230769229</v>
      </c>
      <c r="V37" s="8">
        <f t="shared" si="12"/>
        <v>6573.076923076922</v>
      </c>
      <c r="W37" s="8">
        <v>26</v>
      </c>
    </row>
    <row r="38" spans="1:23" x14ac:dyDescent="0.3">
      <c r="A38" s="10">
        <v>46569</v>
      </c>
      <c r="B38" s="9">
        <f t="shared" si="13"/>
        <v>244.99344135404291</v>
      </c>
      <c r="C38" s="9">
        <f t="shared" si="0"/>
        <v>27</v>
      </c>
      <c r="D38" s="9">
        <f t="shared" si="1"/>
        <v>4.8998688270808586</v>
      </c>
      <c r="E38" s="9">
        <f t="shared" si="2"/>
        <v>267.09357252696208</v>
      </c>
      <c r="F38" s="8">
        <f t="shared" si="14"/>
        <v>3031.47391049305</v>
      </c>
      <c r="G38" s="8">
        <f t="shared" si="3"/>
        <v>809687.19677586877</v>
      </c>
      <c r="H38" s="8">
        <f t="shared" si="4"/>
        <v>809687.19677586877</v>
      </c>
      <c r="I38" s="8">
        <f t="shared" si="5"/>
        <v>97162.46361310425</v>
      </c>
      <c r="J38" s="8">
        <f t="shared" si="6"/>
        <v>712524.73316276446</v>
      </c>
      <c r="K38" s="8">
        <v>520000</v>
      </c>
      <c r="L38" s="8">
        <v>179100</v>
      </c>
      <c r="M38" s="8">
        <v>88600</v>
      </c>
      <c r="N38" s="8">
        <f t="shared" si="7"/>
        <v>787700</v>
      </c>
      <c r="O38" s="8">
        <f t="shared" si="8"/>
        <v>-75175.26683723554</v>
      </c>
      <c r="P38" s="8">
        <v>15000</v>
      </c>
      <c r="Q38" s="8">
        <f t="shared" si="9"/>
        <v>-90175.26683723554</v>
      </c>
      <c r="R38" s="8">
        <f t="shared" si="15"/>
        <v>4378939.4784182254</v>
      </c>
      <c r="S38" s="8">
        <f t="shared" si="10"/>
        <v>4288764.2115809899</v>
      </c>
      <c r="T38" s="8">
        <f t="shared" si="11"/>
        <v>179100</v>
      </c>
      <c r="U38" s="8">
        <v>6633.333333333333</v>
      </c>
      <c r="V38" s="8">
        <f t="shared" si="12"/>
        <v>6633.3333333333321</v>
      </c>
      <c r="W38" s="8">
        <v>27</v>
      </c>
    </row>
    <row r="39" spans="1:23" x14ac:dyDescent="0.3">
      <c r="A39" s="10">
        <v>46600</v>
      </c>
      <c r="B39" s="9">
        <f t="shared" si="13"/>
        <v>267.09357252696208</v>
      </c>
      <c r="C39" s="9">
        <f t="shared" si="0"/>
        <v>29</v>
      </c>
      <c r="D39" s="9">
        <f t="shared" si="1"/>
        <v>5.3418714505392417</v>
      </c>
      <c r="E39" s="9">
        <f t="shared" si="2"/>
        <v>290.75170107642282</v>
      </c>
      <c r="F39" s="8">
        <f t="shared" si="14"/>
        <v>3038.9503429640263</v>
      </c>
      <c r="G39" s="8">
        <f t="shared" si="3"/>
        <v>883579.98170356918</v>
      </c>
      <c r="H39" s="8">
        <f t="shared" si="4"/>
        <v>883579.98170356918</v>
      </c>
      <c r="I39" s="8">
        <f t="shared" si="5"/>
        <v>106029.5978044283</v>
      </c>
      <c r="J39" s="8">
        <f t="shared" si="6"/>
        <v>777550.38389914087</v>
      </c>
      <c r="K39" s="8">
        <v>520000</v>
      </c>
      <c r="L39" s="8">
        <v>187300</v>
      </c>
      <c r="M39" s="8">
        <v>90900</v>
      </c>
      <c r="N39" s="8">
        <f t="shared" si="7"/>
        <v>798200</v>
      </c>
      <c r="O39" s="8">
        <f t="shared" si="8"/>
        <v>-20649.61610085913</v>
      </c>
      <c r="P39" s="8">
        <v>15000</v>
      </c>
      <c r="Q39" s="8">
        <f t="shared" si="9"/>
        <v>-35649.61610085913</v>
      </c>
      <c r="R39" s="8">
        <f t="shared" si="15"/>
        <v>4288764.2115809899</v>
      </c>
      <c r="S39" s="8">
        <f t="shared" si="10"/>
        <v>4253114.595480131</v>
      </c>
      <c r="T39" s="8">
        <f t="shared" si="11"/>
        <v>187300</v>
      </c>
      <c r="U39" s="8">
        <v>6458.6206896551721</v>
      </c>
      <c r="V39" s="8">
        <f t="shared" si="12"/>
        <v>6458.6206896551712</v>
      </c>
      <c r="W39" s="8">
        <v>29</v>
      </c>
    </row>
    <row r="40" spans="1:23" x14ac:dyDescent="0.3">
      <c r="A40" s="10">
        <v>46631</v>
      </c>
      <c r="B40" s="9">
        <f t="shared" si="13"/>
        <v>290.75170107642282</v>
      </c>
      <c r="C40" s="9">
        <f t="shared" si="0"/>
        <v>30</v>
      </c>
      <c r="D40" s="9">
        <f t="shared" si="1"/>
        <v>5.8150340215284562</v>
      </c>
      <c r="E40" s="9">
        <f t="shared" si="2"/>
        <v>314.93666705489437</v>
      </c>
      <c r="F40" s="8">
        <f t="shared" si="14"/>
        <v>3046.4452143344106</v>
      </c>
      <c r="G40" s="8">
        <f t="shared" si="3"/>
        <v>959437.3021678126</v>
      </c>
      <c r="H40" s="8">
        <f t="shared" si="4"/>
        <v>959437.3021678126</v>
      </c>
      <c r="I40" s="8">
        <f t="shared" si="5"/>
        <v>115132.47626013751</v>
      </c>
      <c r="J40" s="8">
        <f t="shared" si="6"/>
        <v>844304.82590767508</v>
      </c>
      <c r="K40" s="8">
        <v>520000</v>
      </c>
      <c r="L40" s="8">
        <v>195500</v>
      </c>
      <c r="M40" s="8">
        <v>93200</v>
      </c>
      <c r="N40" s="8">
        <f t="shared" si="7"/>
        <v>808700</v>
      </c>
      <c r="O40" s="8">
        <f t="shared" si="8"/>
        <v>35604.825907675084</v>
      </c>
      <c r="P40" s="8">
        <v>15000</v>
      </c>
      <c r="Q40" s="8">
        <f t="shared" si="9"/>
        <v>20604.825907675084</v>
      </c>
      <c r="R40" s="8">
        <f t="shared" si="15"/>
        <v>4253114.595480131</v>
      </c>
      <c r="S40" s="8">
        <f t="shared" si="10"/>
        <v>4273719.4213878065</v>
      </c>
      <c r="T40" s="8">
        <f t="shared" si="11"/>
        <v>195500</v>
      </c>
      <c r="U40" s="8">
        <v>6516.666666666667</v>
      </c>
      <c r="V40" s="8">
        <f t="shared" si="12"/>
        <v>6516.6666666666661</v>
      </c>
      <c r="W40" s="8">
        <v>30</v>
      </c>
    </row>
    <row r="41" spans="1:23" x14ac:dyDescent="0.3">
      <c r="A41" s="10">
        <v>46661</v>
      </c>
      <c r="B41" s="9">
        <f t="shared" si="13"/>
        <v>314.93666705489437</v>
      </c>
      <c r="C41" s="9">
        <f t="shared" si="0"/>
        <v>32</v>
      </c>
      <c r="D41" s="9">
        <f t="shared" si="1"/>
        <v>6.2987333410978872</v>
      </c>
      <c r="E41" s="9">
        <f t="shared" si="2"/>
        <v>340.63793371379649</v>
      </c>
      <c r="F41" s="8">
        <f t="shared" si="14"/>
        <v>3053.9585700795028</v>
      </c>
      <c r="G41" s="8">
        <f t="shared" si="3"/>
        <v>1040294.1369594224</v>
      </c>
      <c r="H41" s="8">
        <f t="shared" si="4"/>
        <v>1040294.1369594224</v>
      </c>
      <c r="I41" s="8">
        <f t="shared" si="5"/>
        <v>124835.29643513069</v>
      </c>
      <c r="J41" s="8">
        <f t="shared" si="6"/>
        <v>915458.84052429174</v>
      </c>
      <c r="K41" s="8">
        <v>520000</v>
      </c>
      <c r="L41" s="8">
        <v>203600</v>
      </c>
      <c r="M41" s="8">
        <v>95500</v>
      </c>
      <c r="N41" s="8">
        <f t="shared" si="7"/>
        <v>819100</v>
      </c>
      <c r="O41" s="8">
        <f t="shared" si="8"/>
        <v>96358.840524291736</v>
      </c>
      <c r="P41" s="8">
        <v>15000</v>
      </c>
      <c r="Q41" s="8">
        <f t="shared" si="9"/>
        <v>81358.840524291736</v>
      </c>
      <c r="R41" s="8">
        <f t="shared" si="15"/>
        <v>4273719.4213878065</v>
      </c>
      <c r="S41" s="8">
        <f t="shared" si="10"/>
        <v>4355078.2619120982</v>
      </c>
      <c r="T41" s="8">
        <f t="shared" si="11"/>
        <v>203600</v>
      </c>
      <c r="U41" s="8">
        <v>6362.5</v>
      </c>
      <c r="V41" s="8">
        <f t="shared" si="12"/>
        <v>6362.4999999999991</v>
      </c>
      <c r="W41" s="8">
        <v>32</v>
      </c>
    </row>
    <row r="42" spans="1:23" x14ac:dyDescent="0.3">
      <c r="A42" s="10">
        <v>46692</v>
      </c>
      <c r="B42" s="9">
        <f t="shared" si="13"/>
        <v>340.63793371379649</v>
      </c>
      <c r="C42" s="9">
        <f t="shared" si="0"/>
        <v>33</v>
      </c>
      <c r="D42" s="9">
        <f t="shared" si="1"/>
        <v>6.8127586742759298</v>
      </c>
      <c r="E42" s="9">
        <f t="shared" si="2"/>
        <v>366.82517503952056</v>
      </c>
      <c r="F42" s="8">
        <f t="shared" si="14"/>
        <v>3061.4904557867576</v>
      </c>
      <c r="G42" s="8">
        <f t="shared" si="3"/>
        <v>1123031.7723257989</v>
      </c>
      <c r="H42" s="8">
        <f t="shared" si="4"/>
        <v>1123031.7723257989</v>
      </c>
      <c r="I42" s="8">
        <f t="shared" si="5"/>
        <v>134763.81267909586</v>
      </c>
      <c r="J42" s="8">
        <f t="shared" si="6"/>
        <v>988267.95964670298</v>
      </c>
      <c r="K42" s="8">
        <v>520000</v>
      </c>
      <c r="L42" s="8">
        <v>211800</v>
      </c>
      <c r="M42" s="8">
        <v>97700</v>
      </c>
      <c r="N42" s="8">
        <f t="shared" si="7"/>
        <v>829500</v>
      </c>
      <c r="O42" s="8">
        <f t="shared" si="8"/>
        <v>158767.95964670298</v>
      </c>
      <c r="P42" s="8">
        <v>15000</v>
      </c>
      <c r="Q42" s="8">
        <f t="shared" si="9"/>
        <v>143767.95964670298</v>
      </c>
      <c r="R42" s="8">
        <f t="shared" si="15"/>
        <v>4355078.2619120982</v>
      </c>
      <c r="S42" s="8">
        <f t="shared" si="10"/>
        <v>4498846.2215588009</v>
      </c>
      <c r="T42" s="8">
        <f t="shared" si="11"/>
        <v>211800</v>
      </c>
      <c r="U42" s="8">
        <v>6418.181818181818</v>
      </c>
      <c r="V42" s="8">
        <f t="shared" si="12"/>
        <v>6418.1818181818171</v>
      </c>
      <c r="W42" s="8">
        <v>33</v>
      </c>
    </row>
    <row r="43" spans="1:23" x14ac:dyDescent="0.3">
      <c r="A43" s="10">
        <v>46722</v>
      </c>
      <c r="B43" s="9">
        <f t="shared" si="13"/>
        <v>366.82517503952056</v>
      </c>
      <c r="C43" s="9">
        <f t="shared" si="0"/>
        <v>35</v>
      </c>
      <c r="D43" s="9">
        <f t="shared" si="1"/>
        <v>7.3365035007904114</v>
      </c>
      <c r="E43" s="9">
        <f t="shared" si="2"/>
        <v>394.48867153873016</v>
      </c>
      <c r="F43" s="8">
        <f t="shared" si="14"/>
        <v>3069.0409171560609</v>
      </c>
      <c r="G43" s="8">
        <f t="shared" si="3"/>
        <v>1210701.8743069004</v>
      </c>
      <c r="H43" s="8">
        <f t="shared" si="4"/>
        <v>1210701.8743069004</v>
      </c>
      <c r="I43" s="8">
        <f t="shared" si="5"/>
        <v>145284.22491682804</v>
      </c>
      <c r="J43" s="8">
        <f t="shared" si="6"/>
        <v>1065417.6493900723</v>
      </c>
      <c r="K43" s="8">
        <v>520000</v>
      </c>
      <c r="L43" s="8">
        <v>220000</v>
      </c>
      <c r="M43" s="8">
        <v>100000</v>
      </c>
      <c r="N43" s="8">
        <f t="shared" si="7"/>
        <v>840000</v>
      </c>
      <c r="O43" s="8">
        <f t="shared" si="8"/>
        <v>225417.64939007233</v>
      </c>
      <c r="P43" s="8">
        <v>15000</v>
      </c>
      <c r="Q43" s="8">
        <f t="shared" si="9"/>
        <v>210417.64939007233</v>
      </c>
      <c r="R43" s="8">
        <f t="shared" si="15"/>
        <v>4498846.2215588009</v>
      </c>
      <c r="S43" s="8">
        <f t="shared" si="10"/>
        <v>4709263.8709488735</v>
      </c>
      <c r="T43" s="8">
        <f t="shared" si="11"/>
        <v>220000</v>
      </c>
      <c r="U43" s="8">
        <v>6285.7142857142853</v>
      </c>
      <c r="V43" s="8">
        <f t="shared" si="12"/>
        <v>6285.7142857142844</v>
      </c>
      <c r="W43" s="8">
        <v>35</v>
      </c>
    </row>
    <row r="44" spans="1:23" x14ac:dyDescent="0.3">
      <c r="A44" s="10">
        <v>46753</v>
      </c>
      <c r="B44" s="9">
        <f t="shared" si="13"/>
        <v>394.48867153873016</v>
      </c>
      <c r="C44" s="9">
        <f t="shared" si="0"/>
        <v>36</v>
      </c>
      <c r="D44" s="9">
        <f t="shared" si="1"/>
        <v>7.8897734307746035</v>
      </c>
      <c r="E44" s="9">
        <f t="shared" si="2"/>
        <v>422.59889810795556</v>
      </c>
      <c r="F44" s="8">
        <f t="shared" si="14"/>
        <v>3076.610000000006</v>
      </c>
      <c r="G44" s="8">
        <f t="shared" si="3"/>
        <v>1300171.9959079197</v>
      </c>
      <c r="H44" s="8">
        <f t="shared" si="4"/>
        <v>1300171.9959079197</v>
      </c>
      <c r="I44" s="8">
        <f t="shared" si="5"/>
        <v>156020.63950895035</v>
      </c>
      <c r="J44" s="8">
        <f t="shared" si="6"/>
        <v>1144151.3563989694</v>
      </c>
      <c r="K44" s="8">
        <v>680000</v>
      </c>
      <c r="L44" s="8">
        <v>230000</v>
      </c>
      <c r="M44" s="8">
        <v>105000</v>
      </c>
      <c r="N44" s="8">
        <f t="shared" si="7"/>
        <v>1015000</v>
      </c>
      <c r="O44" s="8">
        <f t="shared" si="8"/>
        <v>129151.35639896942</v>
      </c>
      <c r="P44" s="8">
        <v>10000</v>
      </c>
      <c r="Q44" s="8">
        <f t="shared" si="9"/>
        <v>119151.35639896942</v>
      </c>
      <c r="R44" s="8">
        <f t="shared" si="15"/>
        <v>4709263.8709488735</v>
      </c>
      <c r="S44" s="8">
        <f t="shared" si="10"/>
        <v>4828415.2273478433</v>
      </c>
      <c r="T44" s="8">
        <f t="shared" si="11"/>
        <v>230000</v>
      </c>
      <c r="U44" s="8">
        <v>6388.8888888888887</v>
      </c>
      <c r="V44" s="8">
        <f t="shared" si="12"/>
        <v>6388.8888888888878</v>
      </c>
      <c r="W44" s="8">
        <v>36</v>
      </c>
    </row>
    <row r="45" spans="1:23" x14ac:dyDescent="0.3">
      <c r="A45" s="10">
        <v>46784</v>
      </c>
      <c r="B45" s="9">
        <f t="shared" si="13"/>
        <v>422.59889810795556</v>
      </c>
      <c r="C45" s="9">
        <f t="shared" si="0"/>
        <v>38</v>
      </c>
      <c r="D45" s="9">
        <f t="shared" si="1"/>
        <v>8.4519779621591109</v>
      </c>
      <c r="E45" s="9">
        <f t="shared" si="2"/>
        <v>452.14692014579646</v>
      </c>
      <c r="F45" s="8">
        <f t="shared" si="14"/>
        <v>3084.1977502441732</v>
      </c>
      <c r="G45" s="8">
        <f t="shared" si="3"/>
        <v>1394510.5138934972</v>
      </c>
      <c r="H45" s="8">
        <f t="shared" si="4"/>
        <v>1394510.5138934972</v>
      </c>
      <c r="I45" s="8">
        <f t="shared" si="5"/>
        <v>167341.26166721966</v>
      </c>
      <c r="J45" s="8">
        <f t="shared" si="6"/>
        <v>1227169.2522262775</v>
      </c>
      <c r="K45" s="8">
        <v>680000</v>
      </c>
      <c r="L45" s="8">
        <v>240900</v>
      </c>
      <c r="M45" s="8">
        <v>108200</v>
      </c>
      <c r="N45" s="8">
        <f t="shared" si="7"/>
        <v>1029100</v>
      </c>
      <c r="O45" s="8">
        <f t="shared" si="8"/>
        <v>198069.25222627749</v>
      </c>
      <c r="P45" s="8">
        <v>10000</v>
      </c>
      <c r="Q45" s="8">
        <f t="shared" si="9"/>
        <v>188069.25222627749</v>
      </c>
      <c r="R45" s="8">
        <f t="shared" si="15"/>
        <v>4828415.2273478433</v>
      </c>
      <c r="S45" s="8">
        <f t="shared" si="10"/>
        <v>5016484.4795741206</v>
      </c>
      <c r="T45" s="8">
        <f t="shared" si="11"/>
        <v>240900</v>
      </c>
      <c r="U45" s="8">
        <v>6339.4736842105267</v>
      </c>
      <c r="V45" s="8">
        <f t="shared" si="12"/>
        <v>6339.4736842105258</v>
      </c>
      <c r="W45" s="8">
        <v>38</v>
      </c>
    </row>
    <row r="46" spans="1:23" x14ac:dyDescent="0.3">
      <c r="A46" s="10">
        <v>46813</v>
      </c>
      <c r="B46" s="9">
        <f t="shared" si="13"/>
        <v>452.14692014579646</v>
      </c>
      <c r="C46" s="9">
        <f t="shared" si="0"/>
        <v>39</v>
      </c>
      <c r="D46" s="9">
        <f t="shared" si="1"/>
        <v>9.0429384029159294</v>
      </c>
      <c r="E46" s="9">
        <f t="shared" si="2"/>
        <v>482.10398174288053</v>
      </c>
      <c r="F46" s="8">
        <f t="shared" si="14"/>
        <v>3091.8042139274075</v>
      </c>
      <c r="G46" s="8">
        <f t="shared" si="3"/>
        <v>1490571.12230382</v>
      </c>
      <c r="H46" s="8">
        <f t="shared" si="4"/>
        <v>1490571.12230382</v>
      </c>
      <c r="I46" s="8">
        <f t="shared" si="5"/>
        <v>178868.5346764584</v>
      </c>
      <c r="J46" s="8">
        <f t="shared" si="6"/>
        <v>1311702.5876273615</v>
      </c>
      <c r="K46" s="8">
        <v>680000</v>
      </c>
      <c r="L46" s="8">
        <v>251800</v>
      </c>
      <c r="M46" s="8">
        <v>111400</v>
      </c>
      <c r="N46" s="8">
        <f t="shared" si="7"/>
        <v>1043200</v>
      </c>
      <c r="O46" s="8">
        <f t="shared" si="8"/>
        <v>268502.58762736153</v>
      </c>
      <c r="P46" s="8">
        <v>10000</v>
      </c>
      <c r="Q46" s="8">
        <f t="shared" si="9"/>
        <v>258502.58762736153</v>
      </c>
      <c r="R46" s="8">
        <f t="shared" si="15"/>
        <v>5016484.4795741206</v>
      </c>
      <c r="S46" s="8">
        <f t="shared" si="10"/>
        <v>5274987.0672014821</v>
      </c>
      <c r="T46" s="8">
        <f t="shared" si="11"/>
        <v>251800</v>
      </c>
      <c r="U46" s="8">
        <v>6456.4102564102568</v>
      </c>
      <c r="V46" s="8">
        <f t="shared" si="12"/>
        <v>6456.4102564102559</v>
      </c>
      <c r="W46" s="8">
        <v>39</v>
      </c>
    </row>
    <row r="47" spans="1:23" x14ac:dyDescent="0.3">
      <c r="A47" s="10">
        <v>46844</v>
      </c>
      <c r="B47" s="9">
        <f t="shared" si="13"/>
        <v>482.10398174288053</v>
      </c>
      <c r="C47" s="9">
        <f t="shared" si="0"/>
        <v>41</v>
      </c>
      <c r="D47" s="9">
        <f t="shared" si="1"/>
        <v>9.6420796348576108</v>
      </c>
      <c r="E47" s="9">
        <f t="shared" si="2"/>
        <v>513.46190210802285</v>
      </c>
      <c r="F47" s="8">
        <f t="shared" si="14"/>
        <v>3099.4294372020977</v>
      </c>
      <c r="G47" s="8">
        <f t="shared" si="3"/>
        <v>1591438.9342753878</v>
      </c>
      <c r="H47" s="8">
        <f t="shared" si="4"/>
        <v>1591438.9342753878</v>
      </c>
      <c r="I47" s="8">
        <f t="shared" si="5"/>
        <v>190972.67211304652</v>
      </c>
      <c r="J47" s="8">
        <f t="shared" si="6"/>
        <v>1400466.2621623413</v>
      </c>
      <c r="K47" s="8">
        <v>680000</v>
      </c>
      <c r="L47" s="8">
        <v>262700</v>
      </c>
      <c r="M47" s="8">
        <v>114500</v>
      </c>
      <c r="N47" s="8">
        <f t="shared" si="7"/>
        <v>1057200</v>
      </c>
      <c r="O47" s="8">
        <f t="shared" si="8"/>
        <v>343266.26216234127</v>
      </c>
      <c r="P47" s="8">
        <v>10000</v>
      </c>
      <c r="Q47" s="8">
        <f t="shared" si="9"/>
        <v>333266.26216234127</v>
      </c>
      <c r="R47" s="8">
        <f t="shared" si="15"/>
        <v>5274987.0672014821</v>
      </c>
      <c r="S47" s="8">
        <f t="shared" si="10"/>
        <v>5608253.3293638229</v>
      </c>
      <c r="T47" s="8">
        <f t="shared" si="11"/>
        <v>262700</v>
      </c>
      <c r="U47" s="8">
        <v>6407.3170731707314</v>
      </c>
      <c r="V47" s="8">
        <f t="shared" si="12"/>
        <v>6407.3170731707305</v>
      </c>
      <c r="W47" s="8">
        <v>41</v>
      </c>
    </row>
    <row r="48" spans="1:23" x14ac:dyDescent="0.3">
      <c r="A48" s="10">
        <v>46874</v>
      </c>
      <c r="B48" s="9">
        <f t="shared" si="13"/>
        <v>513.46190210802285</v>
      </c>
      <c r="C48" s="9">
        <f t="shared" si="0"/>
        <v>43</v>
      </c>
      <c r="D48" s="9">
        <f t="shared" si="1"/>
        <v>10.269238042160458</v>
      </c>
      <c r="E48" s="9">
        <f t="shared" si="2"/>
        <v>546.19266406586235</v>
      </c>
      <c r="F48" s="8">
        <f t="shared" si="14"/>
        <v>3107.0734663344574</v>
      </c>
      <c r="G48" s="8">
        <f t="shared" si="3"/>
        <v>1697060.7340255708</v>
      </c>
      <c r="H48" s="8">
        <f t="shared" si="4"/>
        <v>1697060.7340255708</v>
      </c>
      <c r="I48" s="8">
        <f t="shared" si="5"/>
        <v>203647.2880830685</v>
      </c>
      <c r="J48" s="8">
        <f t="shared" si="6"/>
        <v>1493413.4459425022</v>
      </c>
      <c r="K48" s="8">
        <v>680000</v>
      </c>
      <c r="L48" s="8">
        <v>273600</v>
      </c>
      <c r="M48" s="8">
        <v>117700</v>
      </c>
      <c r="N48" s="8">
        <f t="shared" si="7"/>
        <v>1071300</v>
      </c>
      <c r="O48" s="8">
        <f t="shared" si="8"/>
        <v>422113.44594250224</v>
      </c>
      <c r="P48" s="8">
        <v>10000</v>
      </c>
      <c r="Q48" s="8">
        <f t="shared" si="9"/>
        <v>412113.44594250224</v>
      </c>
      <c r="R48" s="8">
        <f t="shared" si="15"/>
        <v>5608253.3293638229</v>
      </c>
      <c r="S48" s="8">
        <f t="shared" si="10"/>
        <v>6020366.7753063254</v>
      </c>
      <c r="T48" s="8">
        <f t="shared" si="11"/>
        <v>273600</v>
      </c>
      <c r="U48" s="8">
        <v>6362.7906976744189</v>
      </c>
      <c r="V48" s="8">
        <f t="shared" si="12"/>
        <v>6362.790697674418</v>
      </c>
      <c r="W48" s="8">
        <v>43</v>
      </c>
    </row>
    <row r="49" spans="1:23" x14ac:dyDescent="0.3">
      <c r="A49" s="10">
        <v>46905</v>
      </c>
      <c r="B49" s="9">
        <f t="shared" si="13"/>
        <v>546.19266406586235</v>
      </c>
      <c r="C49" s="9">
        <f t="shared" si="0"/>
        <v>45</v>
      </c>
      <c r="D49" s="9">
        <f t="shared" si="1"/>
        <v>10.923853281317248</v>
      </c>
      <c r="E49" s="9">
        <f t="shared" si="2"/>
        <v>580.26881078454505</v>
      </c>
      <c r="F49" s="8">
        <f t="shared" si="14"/>
        <v>3114.7363477048048</v>
      </c>
      <c r="G49" s="8">
        <f t="shared" si="3"/>
        <v>1807384.3563900643</v>
      </c>
      <c r="H49" s="8">
        <f t="shared" si="4"/>
        <v>1807384.3563900643</v>
      </c>
      <c r="I49" s="8">
        <f t="shared" si="5"/>
        <v>216886.1227668077</v>
      </c>
      <c r="J49" s="8">
        <f t="shared" si="6"/>
        <v>1590498.2336232567</v>
      </c>
      <c r="K49" s="8">
        <v>680000</v>
      </c>
      <c r="L49" s="8">
        <v>284500</v>
      </c>
      <c r="M49" s="8">
        <v>120900</v>
      </c>
      <c r="N49" s="8">
        <f t="shared" si="7"/>
        <v>1085400</v>
      </c>
      <c r="O49" s="8">
        <f t="shared" si="8"/>
        <v>505098.23362325667</v>
      </c>
      <c r="P49" s="8">
        <v>10000</v>
      </c>
      <c r="Q49" s="8">
        <f t="shared" si="9"/>
        <v>495098.23362325667</v>
      </c>
      <c r="R49" s="8">
        <f t="shared" si="15"/>
        <v>6020366.7753063254</v>
      </c>
      <c r="S49" s="8">
        <f t="shared" si="10"/>
        <v>6515465.0089295823</v>
      </c>
      <c r="T49" s="8">
        <f t="shared" si="11"/>
        <v>284500</v>
      </c>
      <c r="U49" s="8">
        <v>6322.2222222222226</v>
      </c>
      <c r="V49" s="8">
        <f t="shared" si="12"/>
        <v>6322.2222222222217</v>
      </c>
      <c r="W49" s="8">
        <v>45</v>
      </c>
    </row>
    <row r="50" spans="1:23" x14ac:dyDescent="0.3">
      <c r="A50" s="10">
        <v>46935</v>
      </c>
      <c r="B50" s="9">
        <f t="shared" si="13"/>
        <v>580.26881078454505</v>
      </c>
      <c r="C50" s="9">
        <f t="shared" si="0"/>
        <v>46</v>
      </c>
      <c r="D50" s="9">
        <f t="shared" si="1"/>
        <v>11.605376215690901</v>
      </c>
      <c r="E50" s="9">
        <f t="shared" si="2"/>
        <v>614.6634345688542</v>
      </c>
      <c r="F50" s="8">
        <f t="shared" si="14"/>
        <v>3122.4181278078445</v>
      </c>
      <c r="G50" s="8">
        <f t="shared" si="3"/>
        <v>1919236.2505984213</v>
      </c>
      <c r="H50" s="8">
        <f t="shared" si="4"/>
        <v>1919236.2505984213</v>
      </c>
      <c r="I50" s="8">
        <f t="shared" si="5"/>
        <v>230308.35007181056</v>
      </c>
      <c r="J50" s="8">
        <f t="shared" si="6"/>
        <v>1688927.9005266107</v>
      </c>
      <c r="K50" s="8">
        <v>820000</v>
      </c>
      <c r="L50" s="8">
        <v>295500</v>
      </c>
      <c r="M50" s="8">
        <v>124100</v>
      </c>
      <c r="N50" s="8">
        <f t="shared" si="7"/>
        <v>1239600</v>
      </c>
      <c r="O50" s="8">
        <f t="shared" si="8"/>
        <v>449327.90052661067</v>
      </c>
      <c r="P50" s="8">
        <v>10000</v>
      </c>
      <c r="Q50" s="8">
        <f t="shared" si="9"/>
        <v>439327.90052661067</v>
      </c>
      <c r="R50" s="8">
        <f t="shared" si="15"/>
        <v>6515465.0089295823</v>
      </c>
      <c r="S50" s="8">
        <f t="shared" si="10"/>
        <v>6954792.9094561934</v>
      </c>
      <c r="T50" s="8">
        <f t="shared" si="11"/>
        <v>295500</v>
      </c>
      <c r="U50" s="8">
        <v>6423.913043478261</v>
      </c>
      <c r="V50" s="8">
        <f t="shared" si="12"/>
        <v>6423.9130434782601</v>
      </c>
      <c r="W50" s="8">
        <v>46</v>
      </c>
    </row>
    <row r="51" spans="1:23" x14ac:dyDescent="0.3">
      <c r="A51" s="10">
        <v>46966</v>
      </c>
      <c r="B51" s="9">
        <f t="shared" si="13"/>
        <v>614.6634345688542</v>
      </c>
      <c r="C51" s="9">
        <f t="shared" si="0"/>
        <v>48</v>
      </c>
      <c r="D51" s="9">
        <f t="shared" si="1"/>
        <v>12.293268691377085</v>
      </c>
      <c r="E51" s="9">
        <f t="shared" si="2"/>
        <v>650.37016587747712</v>
      </c>
      <c r="F51" s="8">
        <f t="shared" si="14"/>
        <v>3130.11885325295</v>
      </c>
      <c r="G51" s="8">
        <f t="shared" si="3"/>
        <v>2035735.9178063395</v>
      </c>
      <c r="H51" s="8">
        <f t="shared" si="4"/>
        <v>2035735.9178063395</v>
      </c>
      <c r="I51" s="8">
        <f t="shared" si="5"/>
        <v>244288.31013676073</v>
      </c>
      <c r="J51" s="8">
        <f t="shared" si="6"/>
        <v>1791447.6076695786</v>
      </c>
      <c r="K51" s="8">
        <v>820000</v>
      </c>
      <c r="L51" s="8">
        <v>306400</v>
      </c>
      <c r="M51" s="8">
        <v>127300</v>
      </c>
      <c r="N51" s="8">
        <f t="shared" si="7"/>
        <v>1253700</v>
      </c>
      <c r="O51" s="8">
        <f t="shared" si="8"/>
        <v>537747.60766957863</v>
      </c>
      <c r="P51" s="8">
        <v>10000</v>
      </c>
      <c r="Q51" s="8">
        <f t="shared" si="9"/>
        <v>527747.60766957863</v>
      </c>
      <c r="R51" s="8">
        <f t="shared" si="15"/>
        <v>6954792.9094561934</v>
      </c>
      <c r="S51" s="8">
        <f t="shared" si="10"/>
        <v>7482540.5171257723</v>
      </c>
      <c r="T51" s="8">
        <f t="shared" si="11"/>
        <v>306400</v>
      </c>
      <c r="U51" s="8">
        <v>6383.333333333333</v>
      </c>
      <c r="V51" s="8">
        <f t="shared" si="12"/>
        <v>6383.3333333333321</v>
      </c>
      <c r="W51" s="8">
        <v>48</v>
      </c>
    </row>
    <row r="52" spans="1:23" x14ac:dyDescent="0.3">
      <c r="A52" s="10">
        <v>46997</v>
      </c>
      <c r="B52" s="9">
        <f t="shared" si="13"/>
        <v>650.37016587747712</v>
      </c>
      <c r="C52" s="9">
        <f t="shared" si="0"/>
        <v>50</v>
      </c>
      <c r="D52" s="9">
        <f t="shared" si="1"/>
        <v>13.007403317549542</v>
      </c>
      <c r="E52" s="9">
        <f t="shared" si="2"/>
        <v>687.36276255992755</v>
      </c>
      <c r="F52" s="8">
        <f t="shared" si="14"/>
        <v>3137.8385707644456</v>
      </c>
      <c r="G52" s="8">
        <f t="shared" si="3"/>
        <v>2156833.388467744</v>
      </c>
      <c r="H52" s="8">
        <f t="shared" si="4"/>
        <v>2156833.388467744</v>
      </c>
      <c r="I52" s="8">
        <f t="shared" si="5"/>
        <v>258820.00661612928</v>
      </c>
      <c r="J52" s="8">
        <f t="shared" si="6"/>
        <v>1898013.3818516147</v>
      </c>
      <c r="K52" s="8">
        <v>820000</v>
      </c>
      <c r="L52" s="8">
        <v>317300</v>
      </c>
      <c r="M52" s="8">
        <v>130500</v>
      </c>
      <c r="N52" s="8">
        <f t="shared" si="7"/>
        <v>1267800</v>
      </c>
      <c r="O52" s="8">
        <f t="shared" si="8"/>
        <v>630213.38185161469</v>
      </c>
      <c r="P52" s="8">
        <v>10000</v>
      </c>
      <c r="Q52" s="8">
        <f t="shared" si="9"/>
        <v>620213.38185161469</v>
      </c>
      <c r="R52" s="8">
        <f t="shared" si="15"/>
        <v>7482540.5171257723</v>
      </c>
      <c r="S52" s="8">
        <f t="shared" si="10"/>
        <v>8102753.8989773868</v>
      </c>
      <c r="T52" s="8">
        <f t="shared" si="11"/>
        <v>317300</v>
      </c>
      <c r="U52" s="8">
        <v>6346</v>
      </c>
      <c r="V52" s="8">
        <f t="shared" si="12"/>
        <v>6345.9999999999991</v>
      </c>
      <c r="W52" s="8">
        <v>50</v>
      </c>
    </row>
    <row r="53" spans="1:23" x14ac:dyDescent="0.3">
      <c r="A53" s="10">
        <v>47027</v>
      </c>
      <c r="B53" s="9">
        <f t="shared" si="13"/>
        <v>687.36276255992755</v>
      </c>
      <c r="C53" s="9">
        <f t="shared" si="0"/>
        <v>52</v>
      </c>
      <c r="D53" s="9">
        <f t="shared" si="1"/>
        <v>13.747255251198551</v>
      </c>
      <c r="E53" s="9">
        <f t="shared" si="2"/>
        <v>725.61550730872898</v>
      </c>
      <c r="F53" s="8">
        <f t="shared" si="14"/>
        <v>3145.5773271818907</v>
      </c>
      <c r="G53" s="8">
        <f t="shared" si="3"/>
        <v>2282479.6880419236</v>
      </c>
      <c r="H53" s="8">
        <f t="shared" si="4"/>
        <v>2282479.6880419236</v>
      </c>
      <c r="I53" s="8">
        <f t="shared" si="5"/>
        <v>273897.56256503082</v>
      </c>
      <c r="J53" s="8">
        <f t="shared" si="6"/>
        <v>2008582.1254768928</v>
      </c>
      <c r="K53" s="8">
        <v>820000</v>
      </c>
      <c r="L53" s="8">
        <v>328200</v>
      </c>
      <c r="M53" s="8">
        <v>133600</v>
      </c>
      <c r="N53" s="8">
        <f t="shared" si="7"/>
        <v>1281800</v>
      </c>
      <c r="O53" s="8">
        <f t="shared" si="8"/>
        <v>726782.1254768928</v>
      </c>
      <c r="P53" s="8">
        <v>10000</v>
      </c>
      <c r="Q53" s="8">
        <f t="shared" si="9"/>
        <v>716782.1254768928</v>
      </c>
      <c r="R53" s="8">
        <f t="shared" si="15"/>
        <v>8102753.8989773868</v>
      </c>
      <c r="S53" s="8">
        <f t="shared" si="10"/>
        <v>8819536.0244542789</v>
      </c>
      <c r="T53" s="8">
        <f t="shared" si="11"/>
        <v>328200</v>
      </c>
      <c r="U53" s="8">
        <v>6311.5384615384619</v>
      </c>
      <c r="V53" s="8">
        <f t="shared" si="12"/>
        <v>6311.538461538461</v>
      </c>
      <c r="W53" s="8">
        <v>52</v>
      </c>
    </row>
    <row r="54" spans="1:23" x14ac:dyDescent="0.3">
      <c r="A54" s="10">
        <v>47058</v>
      </c>
      <c r="B54" s="9">
        <f t="shared" si="13"/>
        <v>725.61550730872898</v>
      </c>
      <c r="C54" s="9">
        <f t="shared" si="0"/>
        <v>53</v>
      </c>
      <c r="D54" s="9">
        <f t="shared" si="1"/>
        <v>14.512310146174579</v>
      </c>
      <c r="E54" s="9">
        <f t="shared" si="2"/>
        <v>764.10319716255435</v>
      </c>
      <c r="F54" s="8">
        <f t="shared" si="14"/>
        <v>3153.3351694603634</v>
      </c>
      <c r="G54" s="8">
        <f t="shared" si="3"/>
        <v>2409473.484709789</v>
      </c>
      <c r="H54" s="8">
        <f t="shared" si="4"/>
        <v>2409473.484709789</v>
      </c>
      <c r="I54" s="8">
        <f t="shared" si="5"/>
        <v>289136.81816517469</v>
      </c>
      <c r="J54" s="8">
        <f t="shared" si="6"/>
        <v>2120336.6665446144</v>
      </c>
      <c r="K54" s="8">
        <v>820000</v>
      </c>
      <c r="L54" s="8">
        <v>339100</v>
      </c>
      <c r="M54" s="8">
        <v>136800</v>
      </c>
      <c r="N54" s="8">
        <f t="shared" si="7"/>
        <v>1295900</v>
      </c>
      <c r="O54" s="8">
        <f t="shared" si="8"/>
        <v>824436.66654461436</v>
      </c>
      <c r="P54" s="8">
        <v>10000</v>
      </c>
      <c r="Q54" s="8">
        <f t="shared" si="9"/>
        <v>814436.66654461436</v>
      </c>
      <c r="R54" s="8">
        <f t="shared" si="15"/>
        <v>8819536.0244542789</v>
      </c>
      <c r="S54" s="8">
        <f t="shared" si="10"/>
        <v>9633972.6909988932</v>
      </c>
      <c r="T54" s="8">
        <f t="shared" si="11"/>
        <v>339100</v>
      </c>
      <c r="U54" s="8">
        <v>6398.1132075471696</v>
      </c>
      <c r="V54" s="8">
        <f t="shared" si="12"/>
        <v>6398.1132075471687</v>
      </c>
      <c r="W54" s="8">
        <v>53</v>
      </c>
    </row>
    <row r="55" spans="1:23" x14ac:dyDescent="0.3">
      <c r="A55" s="10">
        <v>47088</v>
      </c>
      <c r="B55" s="9">
        <f t="shared" si="13"/>
        <v>764.10319716255435</v>
      </c>
      <c r="C55" s="9">
        <f t="shared" si="0"/>
        <v>55</v>
      </c>
      <c r="D55" s="9">
        <f t="shared" si="1"/>
        <v>15.282063943251087</v>
      </c>
      <c r="E55" s="9">
        <f t="shared" si="2"/>
        <v>803.82113321930331</v>
      </c>
      <c r="F55" s="8">
        <f t="shared" si="14"/>
        <v>3161.1121446707457</v>
      </c>
      <c r="G55" s="8">
        <f t="shared" si="3"/>
        <v>2540968.7463625409</v>
      </c>
      <c r="H55" s="8">
        <f t="shared" si="4"/>
        <v>2540968.7463625409</v>
      </c>
      <c r="I55" s="8">
        <f t="shared" si="5"/>
        <v>304916.24956350488</v>
      </c>
      <c r="J55" s="8">
        <f t="shared" si="6"/>
        <v>2236052.4967990359</v>
      </c>
      <c r="K55" s="8">
        <v>820000</v>
      </c>
      <c r="L55" s="8">
        <v>350000</v>
      </c>
      <c r="M55" s="8">
        <v>140000</v>
      </c>
      <c r="N55" s="8">
        <f t="shared" si="7"/>
        <v>1310000</v>
      </c>
      <c r="O55" s="8">
        <f t="shared" si="8"/>
        <v>926052.49679903593</v>
      </c>
      <c r="P55" s="8">
        <v>10000</v>
      </c>
      <c r="Q55" s="8">
        <f t="shared" si="9"/>
        <v>916052.49679903593</v>
      </c>
      <c r="R55" s="8">
        <f t="shared" si="15"/>
        <v>9633972.6909988932</v>
      </c>
      <c r="S55" s="8">
        <f t="shared" si="10"/>
        <v>10550025.18779793</v>
      </c>
      <c r="T55" s="8">
        <f t="shared" si="11"/>
        <v>350000</v>
      </c>
      <c r="U55" s="8">
        <v>6363.636363636364</v>
      </c>
      <c r="V55" s="8">
        <f t="shared" si="12"/>
        <v>6363.6363636363631</v>
      </c>
      <c r="W55" s="8">
        <v>55</v>
      </c>
    </row>
  </sheetData>
  <dataValidations count="2">
    <dataValidation type="list" sqref="E4" xr:uid="{00000000-0002-0000-0200-000000000000}">
      <formula1>"AUTO,MANUELL"</formula1>
    </dataValidation>
    <dataValidation type="list" sqref="E5" xr:uid="{00000000-0002-0000-0200-000001000000}">
      <formula1>"KALIBRERT,KONSTANT"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5"/>
  <sheetViews>
    <sheetView tabSelected="1" workbookViewId="0">
      <selection activeCell="J7" sqref="J7"/>
    </sheetView>
  </sheetViews>
  <sheetFormatPr baseColWidth="10" defaultColWidth="8.88671875" defaultRowHeight="14.4" x14ac:dyDescent="0.3"/>
  <cols>
    <col min="1" max="1" width="24.77734375" customWidth="1"/>
    <col min="2" max="2" width="12" customWidth="1"/>
    <col min="3" max="3" width="14" customWidth="1"/>
    <col min="4" max="4" width="28" customWidth="1"/>
    <col min="5" max="5" width="13" customWidth="1"/>
    <col min="6" max="6" width="15.109375" customWidth="1"/>
    <col min="7" max="7" width="14" customWidth="1"/>
    <col min="8" max="8" width="11" customWidth="1"/>
    <col min="9" max="9" width="10" customWidth="1"/>
    <col min="10" max="10" width="19" customWidth="1"/>
    <col min="11" max="11" width="10" customWidth="1"/>
    <col min="12" max="12" width="13" customWidth="1"/>
    <col min="13" max="13" width="12" customWidth="1"/>
    <col min="14" max="23" width="10" style="17" customWidth="1"/>
  </cols>
  <sheetData>
    <row r="1" spans="1:6" ht="18" customHeight="1" x14ac:dyDescent="0.35">
      <c r="A1" s="1" t="s">
        <v>54</v>
      </c>
    </row>
    <row r="3" spans="1:6" x14ac:dyDescent="0.3">
      <c r="A3" s="2" t="s">
        <v>15</v>
      </c>
      <c r="D3" t="s">
        <v>16</v>
      </c>
    </row>
    <row r="4" spans="1:6" x14ac:dyDescent="0.3">
      <c r="A4" s="4" t="s">
        <v>17</v>
      </c>
      <c r="B4" s="5">
        <v>10</v>
      </c>
      <c r="D4" t="s">
        <v>18</v>
      </c>
      <c r="E4" s="18" t="s">
        <v>19</v>
      </c>
    </row>
    <row r="5" spans="1:6" x14ac:dyDescent="0.3">
      <c r="A5" s="4" t="s">
        <v>20</v>
      </c>
      <c r="B5" s="5">
        <v>3200</v>
      </c>
      <c r="D5" t="s">
        <v>21</v>
      </c>
      <c r="E5" s="18" t="s">
        <v>22</v>
      </c>
    </row>
    <row r="6" spans="1:6" x14ac:dyDescent="0.3">
      <c r="A6" s="4" t="s">
        <v>23</v>
      </c>
      <c r="B6" s="6">
        <v>0.04</v>
      </c>
      <c r="D6" t="s">
        <v>24</v>
      </c>
      <c r="E6" s="19">
        <v>7164.0746324753673</v>
      </c>
    </row>
    <row r="7" spans="1:6" x14ac:dyDescent="0.3">
      <c r="A7" s="4" t="s">
        <v>25</v>
      </c>
      <c r="B7" s="6">
        <v>1.4999999999999999E-2</v>
      </c>
      <c r="D7" t="s">
        <v>26</v>
      </c>
      <c r="E7" s="20">
        <v>0</v>
      </c>
    </row>
    <row r="8" spans="1:6" x14ac:dyDescent="0.3">
      <c r="A8" s="4" t="s">
        <v>27</v>
      </c>
      <c r="B8" s="6">
        <v>0.12</v>
      </c>
      <c r="D8" t="s">
        <v>28</v>
      </c>
      <c r="E8" s="20">
        <v>1</v>
      </c>
    </row>
    <row r="9" spans="1:6" x14ac:dyDescent="0.3">
      <c r="A9" s="4" t="s">
        <v>29</v>
      </c>
      <c r="B9" s="5">
        <v>8000000</v>
      </c>
      <c r="D9" t="s">
        <v>30</v>
      </c>
      <c r="E9" s="21">
        <v>0</v>
      </c>
    </row>
    <row r="10" spans="1:6" x14ac:dyDescent="0.3">
      <c r="D10" t="s">
        <v>31</v>
      </c>
      <c r="E10" s="19">
        <f>AVERAGE(U20:U31)</f>
        <v>7164.0746324753673</v>
      </c>
    </row>
    <row r="11" spans="1:6" x14ac:dyDescent="0.3">
      <c r="A11" s="2" t="s">
        <v>32</v>
      </c>
      <c r="D11" t="s">
        <v>33</v>
      </c>
      <c r="E11" s="22">
        <f>IF($E$5="KALIBRERT",IF($E$10&gt;0,$E$6/$E$10,1),1)</f>
        <v>1</v>
      </c>
    </row>
    <row r="12" spans="1:6" ht="35.4" customHeight="1" x14ac:dyDescent="0.3">
      <c r="A12" s="3" t="s">
        <v>4</v>
      </c>
      <c r="B12" s="3" t="s">
        <v>5</v>
      </c>
      <c r="C12" s="3" t="s">
        <v>6</v>
      </c>
      <c r="D12" s="3" t="s">
        <v>7</v>
      </c>
      <c r="E12" s="3" t="s">
        <v>8</v>
      </c>
      <c r="F12" s="3" t="s">
        <v>9</v>
      </c>
    </row>
    <row r="13" spans="1:6" x14ac:dyDescent="0.3">
      <c r="A13" s="7">
        <v>2026</v>
      </c>
      <c r="B13" s="8">
        <f>SUM(H20:H31)</f>
        <v>3707146.146295906</v>
      </c>
      <c r="C13" s="8">
        <f>G31*12</f>
        <v>7714451.4992080834</v>
      </c>
      <c r="D13" s="8">
        <f>SUM(O20:O31)</f>
        <v>-2527711.3912596027</v>
      </c>
      <c r="E13" s="9">
        <f>E31</f>
        <v>193.80274954875</v>
      </c>
      <c r="F13" s="8">
        <f>S31</f>
        <v>5232288.6087403968</v>
      </c>
    </row>
    <row r="14" spans="1:6" x14ac:dyDescent="0.3">
      <c r="A14" s="7">
        <v>2027</v>
      </c>
      <c r="B14" s="8">
        <f>SUM(H32:H43)</f>
        <v>15748272.386726927</v>
      </c>
      <c r="C14" s="8">
        <f>G43*12</f>
        <v>24267989.548143886</v>
      </c>
      <c r="D14" s="8">
        <f>SUM(O32:O43)</f>
        <v>2098479.7003196948</v>
      </c>
      <c r="E14" s="9">
        <f>E43</f>
        <v>586.21285958884221</v>
      </c>
      <c r="F14" s="8">
        <f>S43</f>
        <v>7150768.3090600921</v>
      </c>
    </row>
    <row r="15" spans="1:6" x14ac:dyDescent="0.3">
      <c r="A15" s="7">
        <v>2028</v>
      </c>
      <c r="B15" s="8">
        <f>SUM(H44:H55)</f>
        <v>38615089.593169756</v>
      </c>
      <c r="C15" s="8">
        <f>G55*12</f>
        <v>52689075.087764002</v>
      </c>
      <c r="D15" s="8">
        <f>SUM(O44:O55)</f>
        <v>14361278.841989387</v>
      </c>
      <c r="E15" s="9">
        <f>E55</f>
        <v>1223.7952906826861</v>
      </c>
      <c r="F15" s="8">
        <f>S55</f>
        <v>21392047.151049476</v>
      </c>
    </row>
    <row r="18" spans="1:23" x14ac:dyDescent="0.3">
      <c r="A18" s="2" t="s">
        <v>34</v>
      </c>
    </row>
    <row r="19" spans="1:23" ht="28.05" customHeight="1" x14ac:dyDescent="0.3">
      <c r="A19" s="3" t="s">
        <v>11</v>
      </c>
      <c r="B19" s="3" t="s">
        <v>35</v>
      </c>
      <c r="C19" s="3" t="s">
        <v>36</v>
      </c>
      <c r="D19" s="3" t="s">
        <v>37</v>
      </c>
      <c r="E19" s="3" t="s">
        <v>38</v>
      </c>
      <c r="F19" s="3" t="s">
        <v>39</v>
      </c>
      <c r="G19" s="3" t="s">
        <v>12</v>
      </c>
      <c r="H19" s="3" t="s">
        <v>5</v>
      </c>
      <c r="I19" s="3" t="s">
        <v>40</v>
      </c>
      <c r="J19" s="3" t="s">
        <v>41</v>
      </c>
      <c r="K19" s="3" t="s">
        <v>42</v>
      </c>
      <c r="L19" s="3" t="s">
        <v>43</v>
      </c>
      <c r="M19" s="3" t="s">
        <v>44</v>
      </c>
      <c r="N19" s="3" t="s">
        <v>45</v>
      </c>
      <c r="O19" s="3" t="s">
        <v>7</v>
      </c>
      <c r="P19" s="3" t="s">
        <v>46</v>
      </c>
      <c r="Q19" s="3" t="s">
        <v>47</v>
      </c>
      <c r="R19" s="3" t="s">
        <v>48</v>
      </c>
      <c r="S19" s="3" t="s">
        <v>13</v>
      </c>
      <c r="T19" s="3" t="s">
        <v>49</v>
      </c>
      <c r="U19" s="3" t="s">
        <v>50</v>
      </c>
      <c r="V19" s="3" t="s">
        <v>51</v>
      </c>
      <c r="W19" s="3" t="s">
        <v>52</v>
      </c>
    </row>
    <row r="20" spans="1:23" x14ac:dyDescent="0.3">
      <c r="A20" s="10">
        <v>46023</v>
      </c>
      <c r="B20" s="9">
        <f>$B$4</f>
        <v>10</v>
      </c>
      <c r="C20" s="9">
        <f t="shared" ref="C20:C55" si="0">IF($E$4="MANUELL",W20,IF(V20&gt;0,MAX($E$9,ROUND(T20/V20,0)),0))</f>
        <v>8</v>
      </c>
      <c r="D20" s="9">
        <f t="shared" ref="D20:D55" si="1">B20*$B$7</f>
        <v>0.15</v>
      </c>
      <c r="E20" s="9">
        <f t="shared" ref="E20:E55" si="2">B20+C20-D20</f>
        <v>17.850000000000001</v>
      </c>
      <c r="F20" s="8">
        <f>$B$5</f>
        <v>3200</v>
      </c>
      <c r="G20" s="8">
        <f t="shared" ref="G20:G55" si="3">E20*F20</f>
        <v>57120.000000000007</v>
      </c>
      <c r="H20" s="8">
        <f t="shared" ref="H20:H55" si="4">G20</f>
        <v>57120.000000000007</v>
      </c>
      <c r="I20" s="8">
        <f t="shared" ref="I20:I55" si="5">H20*$B$8</f>
        <v>6854.4000000000005</v>
      </c>
      <c r="J20" s="8">
        <f t="shared" ref="J20:J55" si="6">H20-I20</f>
        <v>50265.600000000006</v>
      </c>
      <c r="K20" s="8">
        <v>180000</v>
      </c>
      <c r="L20" s="8">
        <v>70000</v>
      </c>
      <c r="M20" s="8">
        <v>45000</v>
      </c>
      <c r="N20" s="8">
        <f t="shared" ref="N20:N55" si="7">K20+L20+M20</f>
        <v>295000</v>
      </c>
      <c r="O20" s="8">
        <f t="shared" ref="O20:O55" si="8">J20-N20</f>
        <v>-244734.4</v>
      </c>
      <c r="P20" s="8">
        <v>20000</v>
      </c>
      <c r="Q20" s="8">
        <f t="shared" ref="Q20:Q55" si="9">O20-P20</f>
        <v>-264734.40000000002</v>
      </c>
      <c r="R20" s="8">
        <f>$B$9</f>
        <v>8000000</v>
      </c>
      <c r="S20" s="8">
        <f t="shared" ref="S20:S55" si="10">R20+Q20</f>
        <v>7735265.5999999996</v>
      </c>
      <c r="T20" s="8">
        <f t="shared" ref="T20:T55" si="11">L20*$E$8</f>
        <v>70000</v>
      </c>
      <c r="U20" s="8">
        <v>8750</v>
      </c>
      <c r="V20" s="8">
        <f t="shared" ref="V20:V55" si="12">IF($E$5="KONSTANT",$E$6*POWER(1+$E$7,ROW()-20),U20*$E$11*POWER(1+$E$7,ROW()-20))</f>
        <v>8750</v>
      </c>
      <c r="W20" s="8">
        <v>8</v>
      </c>
    </row>
    <row r="21" spans="1:23" x14ac:dyDescent="0.3">
      <c r="A21" s="10">
        <v>46054</v>
      </c>
      <c r="B21" s="9">
        <f t="shared" ref="B21:B55" si="13">E20</f>
        <v>17.850000000000001</v>
      </c>
      <c r="C21" s="9">
        <f t="shared" si="0"/>
        <v>10</v>
      </c>
      <c r="D21" s="9">
        <f t="shared" si="1"/>
        <v>0.26774999999999999</v>
      </c>
      <c r="E21" s="9">
        <f t="shared" si="2"/>
        <v>27.582250000000002</v>
      </c>
      <c r="F21" s="8">
        <f t="shared" ref="F21:F55" si="14">F20*POWER(1+$B$6,1/12)</f>
        <v>3210.4759673030367</v>
      </c>
      <c r="G21" s="8">
        <f t="shared" si="3"/>
        <v>88552.150749144188</v>
      </c>
      <c r="H21" s="8">
        <f t="shared" si="4"/>
        <v>88552.150749144188</v>
      </c>
      <c r="I21" s="8">
        <f t="shared" si="5"/>
        <v>10626.258089897303</v>
      </c>
      <c r="J21" s="8">
        <f t="shared" si="6"/>
        <v>77925.892659246892</v>
      </c>
      <c r="K21" s="8">
        <v>180000</v>
      </c>
      <c r="L21" s="8">
        <v>78200</v>
      </c>
      <c r="M21" s="8">
        <v>48200</v>
      </c>
      <c r="N21" s="8">
        <f t="shared" si="7"/>
        <v>306400</v>
      </c>
      <c r="O21" s="8">
        <f t="shared" si="8"/>
        <v>-228474.10734075311</v>
      </c>
      <c r="P21" s="8">
        <v>20000</v>
      </c>
      <c r="Q21" s="8">
        <f t="shared" si="9"/>
        <v>-248474.10734075311</v>
      </c>
      <c r="R21" s="8">
        <f t="shared" ref="R21:R55" si="15">S20</f>
        <v>7735265.5999999996</v>
      </c>
      <c r="S21" s="8">
        <f t="shared" si="10"/>
        <v>7486791.4926592465</v>
      </c>
      <c r="T21" s="8">
        <f t="shared" si="11"/>
        <v>78200</v>
      </c>
      <c r="U21" s="8">
        <v>7820</v>
      </c>
      <c r="V21" s="8">
        <f t="shared" si="12"/>
        <v>7820</v>
      </c>
      <c r="W21" s="8">
        <v>10</v>
      </c>
    </row>
    <row r="22" spans="1:23" x14ac:dyDescent="0.3">
      <c r="A22" s="10">
        <v>46082</v>
      </c>
      <c r="B22" s="9">
        <f t="shared" si="13"/>
        <v>27.582250000000002</v>
      </c>
      <c r="C22" s="9">
        <f t="shared" si="0"/>
        <v>11</v>
      </c>
      <c r="D22" s="9">
        <f t="shared" si="1"/>
        <v>0.41373375000000001</v>
      </c>
      <c r="E22" s="9">
        <f t="shared" si="2"/>
        <v>38.168516250000003</v>
      </c>
      <c r="F22" s="8">
        <f t="shared" si="14"/>
        <v>3220.9862301969902</v>
      </c>
      <c r="G22" s="8">
        <f t="shared" si="3"/>
        <v>122940.26526830006</v>
      </c>
      <c r="H22" s="8">
        <f t="shared" si="4"/>
        <v>122940.26526830006</v>
      </c>
      <c r="I22" s="8">
        <f t="shared" si="5"/>
        <v>14752.831832196007</v>
      </c>
      <c r="J22" s="8">
        <f t="shared" si="6"/>
        <v>108187.43343610405</v>
      </c>
      <c r="K22" s="8">
        <v>180000</v>
      </c>
      <c r="L22" s="8">
        <v>86400</v>
      </c>
      <c r="M22" s="8">
        <v>51400</v>
      </c>
      <c r="N22" s="8">
        <f t="shared" si="7"/>
        <v>317800</v>
      </c>
      <c r="O22" s="8">
        <f t="shared" si="8"/>
        <v>-209612.56656389596</v>
      </c>
      <c r="P22" s="8">
        <v>20000</v>
      </c>
      <c r="Q22" s="8">
        <f t="shared" si="9"/>
        <v>-229612.56656389596</v>
      </c>
      <c r="R22" s="8">
        <f t="shared" si="15"/>
        <v>7486791.4926592465</v>
      </c>
      <c r="S22" s="8">
        <f t="shared" si="10"/>
        <v>7257178.9260953506</v>
      </c>
      <c r="T22" s="8">
        <f t="shared" si="11"/>
        <v>86400</v>
      </c>
      <c r="U22" s="8">
        <v>7854.545454545455</v>
      </c>
      <c r="V22" s="8">
        <f t="shared" si="12"/>
        <v>7854.545454545455</v>
      </c>
      <c r="W22" s="8">
        <v>11</v>
      </c>
    </row>
    <row r="23" spans="1:23" x14ac:dyDescent="0.3">
      <c r="A23" s="10">
        <v>46113</v>
      </c>
      <c r="B23" s="9">
        <f t="shared" si="13"/>
        <v>38.168516250000003</v>
      </c>
      <c r="C23" s="9">
        <f t="shared" si="0"/>
        <v>13</v>
      </c>
      <c r="D23" s="9">
        <f t="shared" si="1"/>
        <v>0.57252774375000004</v>
      </c>
      <c r="E23" s="9">
        <f t="shared" si="2"/>
        <v>50.595988506250002</v>
      </c>
      <c r="F23" s="8">
        <f t="shared" si="14"/>
        <v>3231.5309009567009</v>
      </c>
      <c r="G23" s="8">
        <f t="shared" si="3"/>
        <v>163502.50032239695</v>
      </c>
      <c r="H23" s="8">
        <f t="shared" si="4"/>
        <v>163502.50032239695</v>
      </c>
      <c r="I23" s="8">
        <f t="shared" si="5"/>
        <v>19620.300038687634</v>
      </c>
      <c r="J23" s="8">
        <f t="shared" si="6"/>
        <v>143882.20028370933</v>
      </c>
      <c r="K23" s="8">
        <v>280000</v>
      </c>
      <c r="L23" s="8">
        <v>94500</v>
      </c>
      <c r="M23" s="8">
        <v>54500</v>
      </c>
      <c r="N23" s="8">
        <f t="shared" si="7"/>
        <v>429000</v>
      </c>
      <c r="O23" s="8">
        <f t="shared" si="8"/>
        <v>-285117.79971629067</v>
      </c>
      <c r="P23" s="8">
        <v>20000</v>
      </c>
      <c r="Q23" s="8">
        <f t="shared" si="9"/>
        <v>-305117.79971629067</v>
      </c>
      <c r="R23" s="8">
        <f t="shared" si="15"/>
        <v>7257178.9260953506</v>
      </c>
      <c r="S23" s="8">
        <f t="shared" si="10"/>
        <v>6952061.1263790596</v>
      </c>
      <c r="T23" s="8">
        <f t="shared" si="11"/>
        <v>94500</v>
      </c>
      <c r="U23" s="8">
        <v>7269.2307692307704</v>
      </c>
      <c r="V23" s="8">
        <f t="shared" si="12"/>
        <v>7269.2307692307704</v>
      </c>
      <c r="W23" s="8">
        <v>13</v>
      </c>
    </row>
    <row r="24" spans="1:23" x14ac:dyDescent="0.3">
      <c r="A24" s="10">
        <v>46143</v>
      </c>
      <c r="B24" s="9">
        <f t="shared" si="13"/>
        <v>50.595988506250002</v>
      </c>
      <c r="C24" s="9">
        <f t="shared" si="0"/>
        <v>14</v>
      </c>
      <c r="D24" s="9">
        <f t="shared" si="1"/>
        <v>0.75893982759375</v>
      </c>
      <c r="E24" s="9">
        <f t="shared" si="2"/>
        <v>63.837048678656245</v>
      </c>
      <c r="F24" s="8">
        <f t="shared" si="14"/>
        <v>3242.1100922245678</v>
      </c>
      <c r="G24" s="8">
        <f t="shared" si="3"/>
        <v>206966.73977890241</v>
      </c>
      <c r="H24" s="8">
        <f t="shared" si="4"/>
        <v>206966.73977890241</v>
      </c>
      <c r="I24" s="8">
        <f t="shared" si="5"/>
        <v>24836.008773468289</v>
      </c>
      <c r="J24" s="8">
        <f t="shared" si="6"/>
        <v>182130.73100543412</v>
      </c>
      <c r="K24" s="8">
        <v>280000</v>
      </c>
      <c r="L24" s="8">
        <v>102700</v>
      </c>
      <c r="M24" s="8">
        <v>57700</v>
      </c>
      <c r="N24" s="8">
        <f t="shared" si="7"/>
        <v>440400</v>
      </c>
      <c r="O24" s="8">
        <f t="shared" si="8"/>
        <v>-258269.26899456588</v>
      </c>
      <c r="P24" s="8">
        <v>20000</v>
      </c>
      <c r="Q24" s="8">
        <f t="shared" si="9"/>
        <v>-278269.26899456588</v>
      </c>
      <c r="R24" s="8">
        <f t="shared" si="15"/>
        <v>6952061.1263790596</v>
      </c>
      <c r="S24" s="8">
        <f t="shared" si="10"/>
        <v>6673791.8573844936</v>
      </c>
      <c r="T24" s="8">
        <f t="shared" si="11"/>
        <v>102700</v>
      </c>
      <c r="U24" s="8">
        <v>7335.7142857142853</v>
      </c>
      <c r="V24" s="8">
        <f t="shared" si="12"/>
        <v>7335.7142857142853</v>
      </c>
      <c r="W24" s="8">
        <v>14</v>
      </c>
    </row>
    <row r="25" spans="1:23" x14ac:dyDescent="0.3">
      <c r="A25" s="10">
        <v>46174</v>
      </c>
      <c r="B25" s="9">
        <f t="shared" si="13"/>
        <v>63.837048678656245</v>
      </c>
      <c r="C25" s="9">
        <f t="shared" si="0"/>
        <v>16</v>
      </c>
      <c r="D25" s="9">
        <f t="shared" si="1"/>
        <v>0.95755573017984363</v>
      </c>
      <c r="E25" s="9">
        <f t="shared" si="2"/>
        <v>78.879492948476397</v>
      </c>
      <c r="F25" s="8">
        <f t="shared" si="14"/>
        <v>3252.7239170117518</v>
      </c>
      <c r="G25" s="8">
        <f t="shared" si="3"/>
        <v>256573.21327526899</v>
      </c>
      <c r="H25" s="8">
        <f t="shared" si="4"/>
        <v>256573.21327526899</v>
      </c>
      <c r="I25" s="8">
        <f t="shared" si="5"/>
        <v>30788.785593032277</v>
      </c>
      <c r="J25" s="8">
        <f t="shared" si="6"/>
        <v>225784.42768223671</v>
      </c>
      <c r="K25" s="8">
        <v>280000</v>
      </c>
      <c r="L25" s="8">
        <v>110900</v>
      </c>
      <c r="M25" s="8">
        <v>60900</v>
      </c>
      <c r="N25" s="8">
        <f t="shared" si="7"/>
        <v>451800</v>
      </c>
      <c r="O25" s="8">
        <f t="shared" si="8"/>
        <v>-226015.57231776329</v>
      </c>
      <c r="P25" s="8">
        <v>20000</v>
      </c>
      <c r="Q25" s="8">
        <f t="shared" si="9"/>
        <v>-246015.57231776329</v>
      </c>
      <c r="R25" s="8">
        <f t="shared" si="15"/>
        <v>6673791.8573844936</v>
      </c>
      <c r="S25" s="8">
        <f t="shared" si="10"/>
        <v>6427776.2850667303</v>
      </c>
      <c r="T25" s="8">
        <f t="shared" si="11"/>
        <v>110900</v>
      </c>
      <c r="U25" s="8">
        <v>6931.25</v>
      </c>
      <c r="V25" s="8">
        <f t="shared" si="12"/>
        <v>6931.25</v>
      </c>
      <c r="W25" s="8">
        <v>16</v>
      </c>
    </row>
    <row r="26" spans="1:23" x14ac:dyDescent="0.3">
      <c r="A26" s="10">
        <v>46204</v>
      </c>
      <c r="B26" s="9">
        <f t="shared" si="13"/>
        <v>78.879492948476397</v>
      </c>
      <c r="C26" s="9">
        <f t="shared" si="0"/>
        <v>17</v>
      </c>
      <c r="D26" s="9">
        <f t="shared" si="1"/>
        <v>1.1831923942271458</v>
      </c>
      <c r="E26" s="9">
        <f t="shared" si="2"/>
        <v>94.696300554249248</v>
      </c>
      <c r="F26" s="8">
        <f t="shared" si="14"/>
        <v>3263.3724886993832</v>
      </c>
      <c r="G26" s="8">
        <f t="shared" si="3"/>
        <v>309029.30201034516</v>
      </c>
      <c r="H26" s="8">
        <f t="shared" si="4"/>
        <v>309029.30201034516</v>
      </c>
      <c r="I26" s="8">
        <f t="shared" si="5"/>
        <v>37083.516241241414</v>
      </c>
      <c r="J26" s="8">
        <f t="shared" si="6"/>
        <v>271945.78576910374</v>
      </c>
      <c r="K26" s="8">
        <v>380000</v>
      </c>
      <c r="L26" s="8">
        <v>119100</v>
      </c>
      <c r="M26" s="8">
        <v>64100</v>
      </c>
      <c r="N26" s="8">
        <f t="shared" si="7"/>
        <v>563200</v>
      </c>
      <c r="O26" s="8">
        <f t="shared" si="8"/>
        <v>-291254.21423089626</v>
      </c>
      <c r="P26" s="8">
        <v>20000</v>
      </c>
      <c r="Q26" s="8">
        <f t="shared" si="9"/>
        <v>-311254.21423089626</v>
      </c>
      <c r="R26" s="8">
        <f t="shared" si="15"/>
        <v>6427776.2850667303</v>
      </c>
      <c r="S26" s="8">
        <f t="shared" si="10"/>
        <v>6116522.0708358344</v>
      </c>
      <c r="T26" s="8">
        <f t="shared" si="11"/>
        <v>119100</v>
      </c>
      <c r="U26" s="8">
        <v>7005.8823529411766</v>
      </c>
      <c r="V26" s="8">
        <f t="shared" si="12"/>
        <v>7005.8823529411766</v>
      </c>
      <c r="W26" s="8">
        <v>17</v>
      </c>
    </row>
    <row r="27" spans="1:23" x14ac:dyDescent="0.3">
      <c r="A27" s="10">
        <v>46235</v>
      </c>
      <c r="B27" s="9">
        <f t="shared" si="13"/>
        <v>94.696300554249248</v>
      </c>
      <c r="C27" s="9">
        <f t="shared" si="0"/>
        <v>19</v>
      </c>
      <c r="D27" s="9">
        <f t="shared" si="1"/>
        <v>1.4204445083137387</v>
      </c>
      <c r="E27" s="9">
        <f t="shared" si="2"/>
        <v>112.27585604593551</v>
      </c>
      <c r="F27" s="8">
        <f t="shared" si="14"/>
        <v>3274.0559210397719</v>
      </c>
      <c r="G27" s="8">
        <f t="shared" si="3"/>
        <v>367597.43127700425</v>
      </c>
      <c r="H27" s="8">
        <f t="shared" si="4"/>
        <v>367597.43127700425</v>
      </c>
      <c r="I27" s="8">
        <f t="shared" si="5"/>
        <v>44111.691753240506</v>
      </c>
      <c r="J27" s="8">
        <f t="shared" si="6"/>
        <v>323485.73952376377</v>
      </c>
      <c r="K27" s="8">
        <v>380000</v>
      </c>
      <c r="L27" s="8">
        <v>127300</v>
      </c>
      <c r="M27" s="8">
        <v>67300</v>
      </c>
      <c r="N27" s="8">
        <f t="shared" si="7"/>
        <v>574600</v>
      </c>
      <c r="O27" s="8">
        <f t="shared" si="8"/>
        <v>-251114.26047623623</v>
      </c>
      <c r="P27" s="8">
        <v>20000</v>
      </c>
      <c r="Q27" s="8">
        <f t="shared" si="9"/>
        <v>-271114.26047623623</v>
      </c>
      <c r="R27" s="8">
        <f t="shared" si="15"/>
        <v>6116522.0708358344</v>
      </c>
      <c r="S27" s="8">
        <f t="shared" si="10"/>
        <v>5845407.8103595981</v>
      </c>
      <c r="T27" s="8">
        <f t="shared" si="11"/>
        <v>127300</v>
      </c>
      <c r="U27" s="8">
        <v>6700</v>
      </c>
      <c r="V27" s="8">
        <f t="shared" si="12"/>
        <v>6700</v>
      </c>
      <c r="W27" s="8">
        <v>19</v>
      </c>
    </row>
    <row r="28" spans="1:23" x14ac:dyDescent="0.3">
      <c r="A28" s="10">
        <v>46266</v>
      </c>
      <c r="B28" s="9">
        <f t="shared" si="13"/>
        <v>112.27585604593551</v>
      </c>
      <c r="C28" s="9">
        <f t="shared" si="0"/>
        <v>20</v>
      </c>
      <c r="D28" s="9">
        <f t="shared" si="1"/>
        <v>1.6841378406890326</v>
      </c>
      <c r="E28" s="9">
        <f t="shared" si="2"/>
        <v>130.59171820524648</v>
      </c>
      <c r="F28" s="8">
        <f t="shared" si="14"/>
        <v>3284.7743281576236</v>
      </c>
      <c r="G28" s="8">
        <f t="shared" si="3"/>
        <v>428964.32343058818</v>
      </c>
      <c r="H28" s="8">
        <f t="shared" si="4"/>
        <v>428964.32343058818</v>
      </c>
      <c r="I28" s="8">
        <f t="shared" si="5"/>
        <v>51475.71881167058</v>
      </c>
      <c r="J28" s="8">
        <f t="shared" si="6"/>
        <v>377488.60461891757</v>
      </c>
      <c r="K28" s="8">
        <v>380000</v>
      </c>
      <c r="L28" s="8">
        <v>135500</v>
      </c>
      <c r="M28" s="8">
        <v>70500</v>
      </c>
      <c r="N28" s="8">
        <f t="shared" si="7"/>
        <v>586000</v>
      </c>
      <c r="O28" s="8">
        <f t="shared" si="8"/>
        <v>-208511.39538108243</v>
      </c>
      <c r="P28" s="8">
        <v>20000</v>
      </c>
      <c r="Q28" s="8">
        <f t="shared" si="9"/>
        <v>-228511.39538108243</v>
      </c>
      <c r="R28" s="8">
        <f t="shared" si="15"/>
        <v>5845407.8103595981</v>
      </c>
      <c r="S28" s="8">
        <f t="shared" si="10"/>
        <v>5616896.4149785154</v>
      </c>
      <c r="T28" s="8">
        <f t="shared" si="11"/>
        <v>135500</v>
      </c>
      <c r="U28" s="8">
        <v>6775</v>
      </c>
      <c r="V28" s="8">
        <f t="shared" si="12"/>
        <v>6775</v>
      </c>
      <c r="W28" s="8">
        <v>20</v>
      </c>
    </row>
    <row r="29" spans="1:23" x14ac:dyDescent="0.3">
      <c r="A29" s="10">
        <v>46296</v>
      </c>
      <c r="B29" s="9">
        <f t="shared" si="13"/>
        <v>130.59171820524648</v>
      </c>
      <c r="C29" s="9">
        <f t="shared" si="0"/>
        <v>22</v>
      </c>
      <c r="D29" s="9">
        <f t="shared" si="1"/>
        <v>1.9588757730786972</v>
      </c>
      <c r="E29" s="9">
        <f t="shared" si="2"/>
        <v>150.63284243216779</v>
      </c>
      <c r="F29" s="8">
        <f t="shared" si="14"/>
        <v>3295.5278245512591</v>
      </c>
      <c r="G29" s="8">
        <f t="shared" si="3"/>
        <v>496414.72352645453</v>
      </c>
      <c r="H29" s="8">
        <f t="shared" si="4"/>
        <v>496414.72352645453</v>
      </c>
      <c r="I29" s="8">
        <f t="shared" si="5"/>
        <v>59569.766823174541</v>
      </c>
      <c r="J29" s="8">
        <f t="shared" si="6"/>
        <v>436844.95670327998</v>
      </c>
      <c r="K29" s="8">
        <v>380000</v>
      </c>
      <c r="L29" s="8">
        <v>143600</v>
      </c>
      <c r="M29" s="8">
        <v>73600</v>
      </c>
      <c r="N29" s="8">
        <f t="shared" si="7"/>
        <v>597200</v>
      </c>
      <c r="O29" s="8">
        <f t="shared" si="8"/>
        <v>-160355.04329672002</v>
      </c>
      <c r="P29" s="8">
        <v>20000</v>
      </c>
      <c r="Q29" s="8">
        <f t="shared" si="9"/>
        <v>-180355.04329672002</v>
      </c>
      <c r="R29" s="8">
        <f t="shared" si="15"/>
        <v>5616896.4149785154</v>
      </c>
      <c r="S29" s="8">
        <f t="shared" si="10"/>
        <v>5436541.3716817955</v>
      </c>
      <c r="T29" s="8">
        <f t="shared" si="11"/>
        <v>143600</v>
      </c>
      <c r="U29" s="8">
        <v>6527.272727272727</v>
      </c>
      <c r="V29" s="8">
        <f t="shared" si="12"/>
        <v>6527.272727272727</v>
      </c>
      <c r="W29" s="8">
        <v>22</v>
      </c>
    </row>
    <row r="30" spans="1:23" x14ac:dyDescent="0.3">
      <c r="A30" s="10">
        <v>46327</v>
      </c>
      <c r="B30" s="9">
        <f t="shared" si="13"/>
        <v>150.63284243216779</v>
      </c>
      <c r="C30" s="9">
        <f t="shared" si="0"/>
        <v>23</v>
      </c>
      <c r="D30" s="9">
        <f t="shared" si="1"/>
        <v>2.2594926364825167</v>
      </c>
      <c r="E30" s="9">
        <f t="shared" si="2"/>
        <v>171.37334979568527</v>
      </c>
      <c r="F30" s="8">
        <f t="shared" si="14"/>
        <v>3306.3165250938359</v>
      </c>
      <c r="G30" s="8">
        <f t="shared" si="3"/>
        <v>566614.53839016054</v>
      </c>
      <c r="H30" s="8">
        <f t="shared" si="4"/>
        <v>566614.53839016054</v>
      </c>
      <c r="I30" s="8">
        <f t="shared" si="5"/>
        <v>67993.744606819266</v>
      </c>
      <c r="J30" s="8">
        <f t="shared" si="6"/>
        <v>498620.7937833413</v>
      </c>
      <c r="K30" s="8">
        <v>380000</v>
      </c>
      <c r="L30" s="8">
        <v>151800</v>
      </c>
      <c r="M30" s="8">
        <v>76800</v>
      </c>
      <c r="N30" s="8">
        <f t="shared" si="7"/>
        <v>608600</v>
      </c>
      <c r="O30" s="8">
        <f t="shared" si="8"/>
        <v>-109979.2062166587</v>
      </c>
      <c r="P30" s="8">
        <v>20000</v>
      </c>
      <c r="Q30" s="8">
        <f t="shared" si="9"/>
        <v>-129979.2062166587</v>
      </c>
      <c r="R30" s="8">
        <f t="shared" si="15"/>
        <v>5436541.3716817955</v>
      </c>
      <c r="S30" s="8">
        <f t="shared" si="10"/>
        <v>5306562.165465137</v>
      </c>
      <c r="T30" s="8">
        <f t="shared" si="11"/>
        <v>151800</v>
      </c>
      <c r="U30" s="8">
        <v>6600</v>
      </c>
      <c r="V30" s="8">
        <f t="shared" si="12"/>
        <v>6600</v>
      </c>
      <c r="W30" s="8">
        <v>23</v>
      </c>
    </row>
    <row r="31" spans="1:23" x14ac:dyDescent="0.3">
      <c r="A31" s="10">
        <v>46357</v>
      </c>
      <c r="B31" s="9">
        <f t="shared" si="13"/>
        <v>171.37334979568527</v>
      </c>
      <c r="C31" s="9">
        <f t="shared" si="0"/>
        <v>25</v>
      </c>
      <c r="D31" s="9">
        <f t="shared" si="1"/>
        <v>2.5706002469352791</v>
      </c>
      <c r="E31" s="9">
        <f t="shared" si="2"/>
        <v>193.80274954875</v>
      </c>
      <c r="F31" s="8">
        <f t="shared" si="14"/>
        <v>3317.1405450345774</v>
      </c>
      <c r="G31" s="8">
        <f t="shared" si="3"/>
        <v>642870.95826734032</v>
      </c>
      <c r="H31" s="8">
        <f t="shared" si="4"/>
        <v>642870.95826734032</v>
      </c>
      <c r="I31" s="8">
        <f t="shared" si="5"/>
        <v>77144.514992080833</v>
      </c>
      <c r="J31" s="8">
        <f t="shared" si="6"/>
        <v>565726.44327525946</v>
      </c>
      <c r="K31" s="8">
        <v>380000</v>
      </c>
      <c r="L31" s="8">
        <v>160000</v>
      </c>
      <c r="M31" s="8">
        <v>80000</v>
      </c>
      <c r="N31" s="8">
        <f t="shared" si="7"/>
        <v>620000</v>
      </c>
      <c r="O31" s="8">
        <f t="shared" si="8"/>
        <v>-54273.556724740542</v>
      </c>
      <c r="P31" s="8">
        <v>20000</v>
      </c>
      <c r="Q31" s="8">
        <f t="shared" si="9"/>
        <v>-74273.556724740542</v>
      </c>
      <c r="R31" s="8">
        <f t="shared" si="15"/>
        <v>5306562.165465137</v>
      </c>
      <c r="S31" s="8">
        <f t="shared" si="10"/>
        <v>5232288.6087403968</v>
      </c>
      <c r="T31" s="8">
        <f t="shared" si="11"/>
        <v>160000</v>
      </c>
      <c r="U31" s="8">
        <v>6400</v>
      </c>
      <c r="V31" s="8">
        <f t="shared" si="12"/>
        <v>6400</v>
      </c>
      <c r="W31" s="8">
        <v>25</v>
      </c>
    </row>
    <row r="32" spans="1:23" x14ac:dyDescent="0.3">
      <c r="A32" s="10">
        <v>46388</v>
      </c>
      <c r="B32" s="9">
        <f t="shared" si="13"/>
        <v>193.80274954875</v>
      </c>
      <c r="C32" s="9">
        <f t="shared" si="0"/>
        <v>26</v>
      </c>
      <c r="D32" s="9">
        <f t="shared" si="1"/>
        <v>2.9070412432312498</v>
      </c>
      <c r="E32" s="9">
        <f t="shared" si="2"/>
        <v>216.89570830551875</v>
      </c>
      <c r="F32" s="8">
        <f t="shared" si="14"/>
        <v>3328.0000000000023</v>
      </c>
      <c r="G32" s="8">
        <f t="shared" si="3"/>
        <v>721828.91724076692</v>
      </c>
      <c r="H32" s="8">
        <f t="shared" si="4"/>
        <v>721828.91724076692</v>
      </c>
      <c r="I32" s="8">
        <f t="shared" si="5"/>
        <v>86619.470068892027</v>
      </c>
      <c r="J32" s="8">
        <f t="shared" si="6"/>
        <v>635209.44717187493</v>
      </c>
      <c r="K32" s="8">
        <v>560000</v>
      </c>
      <c r="L32" s="8">
        <v>170000</v>
      </c>
      <c r="M32" s="8">
        <v>90000</v>
      </c>
      <c r="N32" s="8">
        <f t="shared" si="7"/>
        <v>820000</v>
      </c>
      <c r="O32" s="8">
        <f t="shared" si="8"/>
        <v>-184790.55282812507</v>
      </c>
      <c r="P32" s="8">
        <v>15000</v>
      </c>
      <c r="Q32" s="8">
        <f t="shared" si="9"/>
        <v>-199790.55282812507</v>
      </c>
      <c r="R32" s="8">
        <f t="shared" si="15"/>
        <v>5232288.6087403968</v>
      </c>
      <c r="S32" s="8">
        <f t="shared" si="10"/>
        <v>5032498.0559122721</v>
      </c>
      <c r="T32" s="8">
        <f t="shared" si="11"/>
        <v>170000</v>
      </c>
      <c r="U32" s="8">
        <v>6538.4615384615381</v>
      </c>
      <c r="V32" s="8">
        <f t="shared" si="12"/>
        <v>6538.4615384615381</v>
      </c>
      <c r="W32" s="8">
        <v>26</v>
      </c>
    </row>
    <row r="33" spans="1:23" x14ac:dyDescent="0.3">
      <c r="A33" s="10">
        <v>46419</v>
      </c>
      <c r="B33" s="9">
        <f t="shared" si="13"/>
        <v>216.89570830551875</v>
      </c>
      <c r="C33" s="9">
        <f t="shared" si="0"/>
        <v>28</v>
      </c>
      <c r="D33" s="9">
        <f t="shared" si="1"/>
        <v>3.2534356245827811</v>
      </c>
      <c r="E33" s="9">
        <f t="shared" si="2"/>
        <v>241.64227268093597</v>
      </c>
      <c r="F33" s="8">
        <f t="shared" si="14"/>
        <v>3338.8950059951603</v>
      </c>
      <c r="G33" s="8">
        <f t="shared" si="3"/>
        <v>806818.17749169783</v>
      </c>
      <c r="H33" s="8">
        <f t="shared" si="4"/>
        <v>806818.17749169783</v>
      </c>
      <c r="I33" s="8">
        <f t="shared" si="5"/>
        <v>96818.181299003743</v>
      </c>
      <c r="J33" s="8">
        <f t="shared" si="6"/>
        <v>709999.99619269406</v>
      </c>
      <c r="K33" s="8">
        <v>560000</v>
      </c>
      <c r="L33" s="8">
        <v>181800</v>
      </c>
      <c r="M33" s="8">
        <v>92700</v>
      </c>
      <c r="N33" s="8">
        <f t="shared" si="7"/>
        <v>834500</v>
      </c>
      <c r="O33" s="8">
        <f t="shared" si="8"/>
        <v>-124500.00380730594</v>
      </c>
      <c r="P33" s="8">
        <v>15000</v>
      </c>
      <c r="Q33" s="8">
        <f t="shared" si="9"/>
        <v>-139500.00380730594</v>
      </c>
      <c r="R33" s="8">
        <f t="shared" si="15"/>
        <v>5032498.0559122721</v>
      </c>
      <c r="S33" s="8">
        <f t="shared" si="10"/>
        <v>4892998.0521049658</v>
      </c>
      <c r="T33" s="8">
        <f t="shared" si="11"/>
        <v>181800</v>
      </c>
      <c r="U33" s="8">
        <v>6492.8571428571431</v>
      </c>
      <c r="V33" s="8">
        <f t="shared" si="12"/>
        <v>6492.8571428571431</v>
      </c>
      <c r="W33" s="8">
        <v>28</v>
      </c>
    </row>
    <row r="34" spans="1:23" x14ac:dyDescent="0.3">
      <c r="A34" s="10">
        <v>46447</v>
      </c>
      <c r="B34" s="9">
        <f t="shared" si="13"/>
        <v>241.64227268093597</v>
      </c>
      <c r="C34" s="9">
        <f t="shared" si="0"/>
        <v>30</v>
      </c>
      <c r="D34" s="9">
        <f t="shared" si="1"/>
        <v>3.6246340902140393</v>
      </c>
      <c r="E34" s="9">
        <f t="shared" si="2"/>
        <v>268.01763859072196</v>
      </c>
      <c r="F34" s="8">
        <f t="shared" si="14"/>
        <v>3349.8256794048721</v>
      </c>
      <c r="G34" s="8">
        <f t="shared" si="3"/>
        <v>897812.36828465469</v>
      </c>
      <c r="H34" s="8">
        <f t="shared" si="4"/>
        <v>897812.36828465469</v>
      </c>
      <c r="I34" s="8">
        <f t="shared" si="5"/>
        <v>107737.48419415856</v>
      </c>
      <c r="J34" s="8">
        <f t="shared" si="6"/>
        <v>790074.88409049611</v>
      </c>
      <c r="K34" s="8">
        <v>560000</v>
      </c>
      <c r="L34" s="8">
        <v>193600</v>
      </c>
      <c r="M34" s="8">
        <v>95500</v>
      </c>
      <c r="N34" s="8">
        <f t="shared" si="7"/>
        <v>849100</v>
      </c>
      <c r="O34" s="8">
        <f t="shared" si="8"/>
        <v>-59025.115909503889</v>
      </c>
      <c r="P34" s="8">
        <v>15000</v>
      </c>
      <c r="Q34" s="8">
        <f t="shared" si="9"/>
        <v>-74025.115909503889</v>
      </c>
      <c r="R34" s="8">
        <f t="shared" si="15"/>
        <v>4892998.0521049658</v>
      </c>
      <c r="S34" s="8">
        <f t="shared" si="10"/>
        <v>4818972.936195462</v>
      </c>
      <c r="T34" s="8">
        <f t="shared" si="11"/>
        <v>193600</v>
      </c>
      <c r="U34" s="8">
        <v>6453.333333333333</v>
      </c>
      <c r="V34" s="8">
        <f t="shared" si="12"/>
        <v>6453.333333333333</v>
      </c>
      <c r="W34" s="8">
        <v>30</v>
      </c>
    </row>
    <row r="35" spans="1:23" x14ac:dyDescent="0.3">
      <c r="A35" s="10">
        <v>46478</v>
      </c>
      <c r="B35" s="9">
        <f t="shared" si="13"/>
        <v>268.01763859072196</v>
      </c>
      <c r="C35" s="9">
        <f t="shared" si="0"/>
        <v>33</v>
      </c>
      <c r="D35" s="9">
        <f t="shared" si="1"/>
        <v>4.0202645788608296</v>
      </c>
      <c r="E35" s="9">
        <f t="shared" si="2"/>
        <v>296.99737401186115</v>
      </c>
      <c r="F35" s="8">
        <f t="shared" si="14"/>
        <v>3360.7921369949713</v>
      </c>
      <c r="G35" s="8">
        <f t="shared" si="3"/>
        <v>998146.43928721757</v>
      </c>
      <c r="H35" s="8">
        <f t="shared" si="4"/>
        <v>998146.43928721757</v>
      </c>
      <c r="I35" s="8">
        <f t="shared" si="5"/>
        <v>119777.57271446611</v>
      </c>
      <c r="J35" s="8">
        <f t="shared" si="6"/>
        <v>878368.86657275143</v>
      </c>
      <c r="K35" s="8">
        <v>560000</v>
      </c>
      <c r="L35" s="8">
        <v>205500</v>
      </c>
      <c r="M35" s="8">
        <v>98200</v>
      </c>
      <c r="N35" s="8">
        <f t="shared" si="7"/>
        <v>863700</v>
      </c>
      <c r="O35" s="8">
        <f t="shared" si="8"/>
        <v>14668.866572751431</v>
      </c>
      <c r="P35" s="8">
        <v>15000</v>
      </c>
      <c r="Q35" s="8">
        <f t="shared" si="9"/>
        <v>-331.13342724856921</v>
      </c>
      <c r="R35" s="8">
        <f t="shared" si="15"/>
        <v>4818972.936195462</v>
      </c>
      <c r="S35" s="8">
        <f t="shared" si="10"/>
        <v>4818641.8027682137</v>
      </c>
      <c r="T35" s="8">
        <f t="shared" si="11"/>
        <v>205500</v>
      </c>
      <c r="U35" s="8">
        <v>6227.272727272727</v>
      </c>
      <c r="V35" s="8">
        <f t="shared" si="12"/>
        <v>6227.272727272727</v>
      </c>
      <c r="W35" s="8">
        <v>33</v>
      </c>
    </row>
    <row r="36" spans="1:23" x14ac:dyDescent="0.3">
      <c r="A36" s="10">
        <v>46508</v>
      </c>
      <c r="B36" s="9">
        <f t="shared" si="13"/>
        <v>296.99737401186115</v>
      </c>
      <c r="C36" s="9">
        <f t="shared" si="0"/>
        <v>35</v>
      </c>
      <c r="D36" s="9">
        <f t="shared" si="1"/>
        <v>4.4549606101779169</v>
      </c>
      <c r="E36" s="9">
        <f t="shared" si="2"/>
        <v>327.54241340168323</v>
      </c>
      <c r="F36" s="8">
        <f t="shared" si="14"/>
        <v>3371.794495913553</v>
      </c>
      <c r="G36" s="8">
        <f t="shared" si="3"/>
        <v>1104405.7066860371</v>
      </c>
      <c r="H36" s="8">
        <f t="shared" si="4"/>
        <v>1104405.7066860371</v>
      </c>
      <c r="I36" s="8">
        <f t="shared" si="5"/>
        <v>132528.68480232445</v>
      </c>
      <c r="J36" s="8">
        <f t="shared" si="6"/>
        <v>971877.02188371262</v>
      </c>
      <c r="K36" s="8">
        <v>560000</v>
      </c>
      <c r="L36" s="8">
        <v>217300</v>
      </c>
      <c r="M36" s="8">
        <v>100900</v>
      </c>
      <c r="N36" s="8">
        <f t="shared" si="7"/>
        <v>878200</v>
      </c>
      <c r="O36" s="8">
        <f t="shared" si="8"/>
        <v>93677.021883712616</v>
      </c>
      <c r="P36" s="8">
        <v>15000</v>
      </c>
      <c r="Q36" s="8">
        <f t="shared" si="9"/>
        <v>78677.021883712616</v>
      </c>
      <c r="R36" s="8">
        <f t="shared" si="15"/>
        <v>4818641.8027682137</v>
      </c>
      <c r="S36" s="8">
        <f t="shared" si="10"/>
        <v>4897318.8246519268</v>
      </c>
      <c r="T36" s="8">
        <f t="shared" si="11"/>
        <v>217300</v>
      </c>
      <c r="U36" s="8">
        <v>6208.5714285714284</v>
      </c>
      <c r="V36" s="8">
        <f t="shared" si="12"/>
        <v>6208.5714285714284</v>
      </c>
      <c r="W36" s="8">
        <v>35</v>
      </c>
    </row>
    <row r="37" spans="1:23" x14ac:dyDescent="0.3">
      <c r="A37" s="10">
        <v>46539</v>
      </c>
      <c r="B37" s="9">
        <f t="shared" si="13"/>
        <v>327.54241340168323</v>
      </c>
      <c r="C37" s="9">
        <f t="shared" si="0"/>
        <v>37</v>
      </c>
      <c r="D37" s="9">
        <f t="shared" si="1"/>
        <v>4.9131362010252486</v>
      </c>
      <c r="E37" s="9">
        <f t="shared" si="2"/>
        <v>359.62927720065801</v>
      </c>
      <c r="F37" s="8">
        <f t="shared" si="14"/>
        <v>3382.8328736922244</v>
      </c>
      <c r="G37" s="8">
        <f t="shared" si="3"/>
        <v>1216565.7412565595</v>
      </c>
      <c r="H37" s="8">
        <f t="shared" si="4"/>
        <v>1216565.7412565595</v>
      </c>
      <c r="I37" s="8">
        <f t="shared" si="5"/>
        <v>145987.88895078714</v>
      </c>
      <c r="J37" s="8">
        <f t="shared" si="6"/>
        <v>1070577.8523057722</v>
      </c>
      <c r="K37" s="8">
        <v>560000</v>
      </c>
      <c r="L37" s="8">
        <v>229100</v>
      </c>
      <c r="M37" s="8">
        <v>103600</v>
      </c>
      <c r="N37" s="8">
        <f t="shared" si="7"/>
        <v>892700</v>
      </c>
      <c r="O37" s="8">
        <f t="shared" si="8"/>
        <v>177877.85230577225</v>
      </c>
      <c r="P37" s="8">
        <v>15000</v>
      </c>
      <c r="Q37" s="8">
        <f t="shared" si="9"/>
        <v>162877.85230577225</v>
      </c>
      <c r="R37" s="8">
        <f t="shared" si="15"/>
        <v>4897318.8246519268</v>
      </c>
      <c r="S37" s="8">
        <f t="shared" si="10"/>
        <v>5060196.6769576985</v>
      </c>
      <c r="T37" s="8">
        <f t="shared" si="11"/>
        <v>229100</v>
      </c>
      <c r="U37" s="8">
        <v>6191.8918918918916</v>
      </c>
      <c r="V37" s="8">
        <f t="shared" si="12"/>
        <v>6191.8918918918916</v>
      </c>
      <c r="W37" s="8">
        <v>37</v>
      </c>
    </row>
    <row r="38" spans="1:23" x14ac:dyDescent="0.3">
      <c r="A38" s="10">
        <v>46569</v>
      </c>
      <c r="B38" s="9">
        <f t="shared" si="13"/>
        <v>359.62927720065801</v>
      </c>
      <c r="C38" s="9">
        <f t="shared" si="0"/>
        <v>39</v>
      </c>
      <c r="D38" s="9">
        <f t="shared" si="1"/>
        <v>5.3944391580098703</v>
      </c>
      <c r="E38" s="9">
        <f t="shared" si="2"/>
        <v>393.23483804264816</v>
      </c>
      <c r="F38" s="8">
        <f t="shared" si="14"/>
        <v>3393.9073882473608</v>
      </c>
      <c r="G38" s="8">
        <f t="shared" si="3"/>
        <v>1334602.6221491979</v>
      </c>
      <c r="H38" s="8">
        <f t="shared" si="4"/>
        <v>1334602.6221491979</v>
      </c>
      <c r="I38" s="8">
        <f t="shared" si="5"/>
        <v>160152.31465790374</v>
      </c>
      <c r="J38" s="8">
        <f t="shared" si="6"/>
        <v>1174450.3074912941</v>
      </c>
      <c r="K38" s="8">
        <v>720000</v>
      </c>
      <c r="L38" s="8">
        <v>240900</v>
      </c>
      <c r="M38" s="8">
        <v>106400</v>
      </c>
      <c r="N38" s="8">
        <f t="shared" si="7"/>
        <v>1067300</v>
      </c>
      <c r="O38" s="8">
        <f t="shared" si="8"/>
        <v>107150.30749129411</v>
      </c>
      <c r="P38" s="8">
        <v>15000</v>
      </c>
      <c r="Q38" s="8">
        <f t="shared" si="9"/>
        <v>92150.307491294108</v>
      </c>
      <c r="R38" s="8">
        <f t="shared" si="15"/>
        <v>5060196.6769576985</v>
      </c>
      <c r="S38" s="8">
        <f t="shared" si="10"/>
        <v>5152346.9844489926</v>
      </c>
      <c r="T38" s="8">
        <f t="shared" si="11"/>
        <v>240900</v>
      </c>
      <c r="U38" s="8">
        <v>6176.9230769230771</v>
      </c>
      <c r="V38" s="8">
        <f t="shared" si="12"/>
        <v>6176.9230769230771</v>
      </c>
      <c r="W38" s="8">
        <v>39</v>
      </c>
    </row>
    <row r="39" spans="1:23" x14ac:dyDescent="0.3">
      <c r="A39" s="10">
        <v>46600</v>
      </c>
      <c r="B39" s="9">
        <f t="shared" si="13"/>
        <v>393.23483804264816</v>
      </c>
      <c r="C39" s="9">
        <f t="shared" si="0"/>
        <v>41</v>
      </c>
      <c r="D39" s="9">
        <f t="shared" si="1"/>
        <v>5.898522570639722</v>
      </c>
      <c r="E39" s="9">
        <f t="shared" si="2"/>
        <v>428.33631547200844</v>
      </c>
      <c r="F39" s="8">
        <f t="shared" si="14"/>
        <v>3405.0181578813649</v>
      </c>
      <c r="G39" s="8">
        <f t="shared" si="3"/>
        <v>1458492.9318621894</v>
      </c>
      <c r="H39" s="8">
        <f t="shared" si="4"/>
        <v>1458492.9318621894</v>
      </c>
      <c r="I39" s="8">
        <f t="shared" si="5"/>
        <v>175019.15182346271</v>
      </c>
      <c r="J39" s="8">
        <f t="shared" si="6"/>
        <v>1283473.7800387267</v>
      </c>
      <c r="K39" s="8">
        <v>720000</v>
      </c>
      <c r="L39" s="8">
        <v>252700</v>
      </c>
      <c r="M39" s="8">
        <v>109100</v>
      </c>
      <c r="N39" s="8">
        <f t="shared" si="7"/>
        <v>1081800</v>
      </c>
      <c r="O39" s="8">
        <f t="shared" si="8"/>
        <v>201673.78003872675</v>
      </c>
      <c r="P39" s="8">
        <v>15000</v>
      </c>
      <c r="Q39" s="8">
        <f t="shared" si="9"/>
        <v>186673.78003872675</v>
      </c>
      <c r="R39" s="8">
        <f t="shared" si="15"/>
        <v>5152346.9844489926</v>
      </c>
      <c r="S39" s="8">
        <f t="shared" si="10"/>
        <v>5339020.7644877192</v>
      </c>
      <c r="T39" s="8">
        <f t="shared" si="11"/>
        <v>252700</v>
      </c>
      <c r="U39" s="8">
        <v>6163.4146341463411</v>
      </c>
      <c r="V39" s="8">
        <f t="shared" si="12"/>
        <v>6163.4146341463411</v>
      </c>
      <c r="W39" s="8">
        <v>41</v>
      </c>
    </row>
    <row r="40" spans="1:23" x14ac:dyDescent="0.3">
      <c r="A40" s="10">
        <v>46631</v>
      </c>
      <c r="B40" s="9">
        <f t="shared" si="13"/>
        <v>428.33631547200844</v>
      </c>
      <c r="C40" s="9">
        <f t="shared" si="0"/>
        <v>43</v>
      </c>
      <c r="D40" s="9">
        <f t="shared" si="1"/>
        <v>6.4250447320801261</v>
      </c>
      <c r="E40" s="9">
        <f t="shared" si="2"/>
        <v>464.91127073992828</v>
      </c>
      <c r="F40" s="8">
        <f t="shared" si="14"/>
        <v>3416.1653012839306</v>
      </c>
      <c r="G40" s="8">
        <f t="shared" si="3"/>
        <v>1588213.7512775622</v>
      </c>
      <c r="H40" s="8">
        <f t="shared" si="4"/>
        <v>1588213.7512775622</v>
      </c>
      <c r="I40" s="8">
        <f t="shared" si="5"/>
        <v>190585.65015330745</v>
      </c>
      <c r="J40" s="8">
        <f t="shared" si="6"/>
        <v>1397628.1011242548</v>
      </c>
      <c r="K40" s="8">
        <v>720000</v>
      </c>
      <c r="L40" s="8">
        <v>264500</v>
      </c>
      <c r="M40" s="8">
        <v>111800</v>
      </c>
      <c r="N40" s="8">
        <f t="shared" si="7"/>
        <v>1096300</v>
      </c>
      <c r="O40" s="8">
        <f t="shared" si="8"/>
        <v>301328.10112425475</v>
      </c>
      <c r="P40" s="8">
        <v>15000</v>
      </c>
      <c r="Q40" s="8">
        <f t="shared" si="9"/>
        <v>286328.10112425475</v>
      </c>
      <c r="R40" s="8">
        <f t="shared" si="15"/>
        <v>5339020.7644877192</v>
      </c>
      <c r="S40" s="8">
        <f t="shared" si="10"/>
        <v>5625348.8656119741</v>
      </c>
      <c r="T40" s="8">
        <f t="shared" si="11"/>
        <v>264500</v>
      </c>
      <c r="U40" s="8">
        <v>6151.1627906976746</v>
      </c>
      <c r="V40" s="8">
        <f t="shared" si="12"/>
        <v>6151.1627906976746</v>
      </c>
      <c r="W40" s="8">
        <v>43</v>
      </c>
    </row>
    <row r="41" spans="1:23" x14ac:dyDescent="0.3">
      <c r="A41" s="10">
        <v>46661</v>
      </c>
      <c r="B41" s="9">
        <f t="shared" si="13"/>
        <v>464.91127073992828</v>
      </c>
      <c r="C41" s="9">
        <f t="shared" si="0"/>
        <v>46</v>
      </c>
      <c r="D41" s="9">
        <f t="shared" si="1"/>
        <v>6.9736690610989243</v>
      </c>
      <c r="E41" s="9">
        <f t="shared" si="2"/>
        <v>503.93760167882937</v>
      </c>
      <c r="F41" s="8">
        <f t="shared" si="14"/>
        <v>3427.3489375333115</v>
      </c>
      <c r="G41" s="8">
        <f t="shared" si="3"/>
        <v>1727170.0036970209</v>
      </c>
      <c r="H41" s="8">
        <f t="shared" si="4"/>
        <v>1727170.0036970209</v>
      </c>
      <c r="I41" s="8">
        <f t="shared" si="5"/>
        <v>207260.40044364252</v>
      </c>
      <c r="J41" s="8">
        <f t="shared" si="6"/>
        <v>1519909.6032533785</v>
      </c>
      <c r="K41" s="8">
        <v>720000</v>
      </c>
      <c r="L41" s="8">
        <v>276400</v>
      </c>
      <c r="M41" s="8">
        <v>114500</v>
      </c>
      <c r="N41" s="8">
        <f t="shared" si="7"/>
        <v>1110900</v>
      </c>
      <c r="O41" s="8">
        <f t="shared" si="8"/>
        <v>409009.60325337853</v>
      </c>
      <c r="P41" s="8">
        <v>15000</v>
      </c>
      <c r="Q41" s="8">
        <f t="shared" si="9"/>
        <v>394009.60325337853</v>
      </c>
      <c r="R41" s="8">
        <f t="shared" si="15"/>
        <v>5625348.8656119741</v>
      </c>
      <c r="S41" s="8">
        <f t="shared" si="10"/>
        <v>6019358.4688653527</v>
      </c>
      <c r="T41" s="8">
        <f t="shared" si="11"/>
        <v>276400</v>
      </c>
      <c r="U41" s="8">
        <v>6008.695652173913</v>
      </c>
      <c r="V41" s="8">
        <f t="shared" si="12"/>
        <v>6008.695652173913</v>
      </c>
      <c r="W41" s="8">
        <v>46</v>
      </c>
    </row>
    <row r="42" spans="1:23" x14ac:dyDescent="0.3">
      <c r="A42" s="10">
        <v>46692</v>
      </c>
      <c r="B42" s="9">
        <f t="shared" si="13"/>
        <v>503.93760167882937</v>
      </c>
      <c r="C42" s="9">
        <f t="shared" si="0"/>
        <v>48</v>
      </c>
      <c r="D42" s="9">
        <f t="shared" si="1"/>
        <v>7.5590640251824404</v>
      </c>
      <c r="E42" s="9">
        <f t="shared" si="2"/>
        <v>544.37853765364696</v>
      </c>
      <c r="F42" s="8">
        <f t="shared" si="14"/>
        <v>3438.5691860975917</v>
      </c>
      <c r="G42" s="8">
        <f t="shared" si="3"/>
        <v>1871883.2651486979</v>
      </c>
      <c r="H42" s="8">
        <f t="shared" si="4"/>
        <v>1871883.2651486979</v>
      </c>
      <c r="I42" s="8">
        <f t="shared" si="5"/>
        <v>224625.99181784375</v>
      </c>
      <c r="J42" s="8">
        <f t="shared" si="6"/>
        <v>1647257.2733308543</v>
      </c>
      <c r="K42" s="8">
        <v>720000</v>
      </c>
      <c r="L42" s="8">
        <v>288200</v>
      </c>
      <c r="M42" s="8">
        <v>117300</v>
      </c>
      <c r="N42" s="8">
        <f t="shared" si="7"/>
        <v>1125500</v>
      </c>
      <c r="O42" s="8">
        <f t="shared" si="8"/>
        <v>521757.27333085425</v>
      </c>
      <c r="P42" s="8">
        <v>15000</v>
      </c>
      <c r="Q42" s="8">
        <f t="shared" si="9"/>
        <v>506757.27333085425</v>
      </c>
      <c r="R42" s="8">
        <f t="shared" si="15"/>
        <v>6019358.4688653527</v>
      </c>
      <c r="S42" s="8">
        <f t="shared" si="10"/>
        <v>6526115.7421962069</v>
      </c>
      <c r="T42" s="8">
        <f t="shared" si="11"/>
        <v>288200</v>
      </c>
      <c r="U42" s="8">
        <v>6004.166666666667</v>
      </c>
      <c r="V42" s="8">
        <f t="shared" si="12"/>
        <v>6004.166666666667</v>
      </c>
      <c r="W42" s="8">
        <v>48</v>
      </c>
    </row>
    <row r="43" spans="1:23" x14ac:dyDescent="0.3">
      <c r="A43" s="10">
        <v>46722</v>
      </c>
      <c r="B43" s="9">
        <f t="shared" si="13"/>
        <v>544.37853765364696</v>
      </c>
      <c r="C43" s="9">
        <f t="shared" si="0"/>
        <v>50</v>
      </c>
      <c r="D43" s="9">
        <f t="shared" si="1"/>
        <v>8.1656780648047036</v>
      </c>
      <c r="E43" s="9">
        <f t="shared" si="2"/>
        <v>586.21285958884221</v>
      </c>
      <c r="F43" s="8">
        <f t="shared" si="14"/>
        <v>3449.8261668359628</v>
      </c>
      <c r="G43" s="8">
        <f t="shared" si="3"/>
        <v>2022332.462345324</v>
      </c>
      <c r="H43" s="8">
        <f t="shared" si="4"/>
        <v>2022332.462345324</v>
      </c>
      <c r="I43" s="8">
        <f t="shared" si="5"/>
        <v>242679.89548143887</v>
      </c>
      <c r="J43" s="8">
        <f t="shared" si="6"/>
        <v>1779652.5668638851</v>
      </c>
      <c r="K43" s="8">
        <v>720000</v>
      </c>
      <c r="L43" s="8">
        <v>300000</v>
      </c>
      <c r="M43" s="8">
        <v>120000</v>
      </c>
      <c r="N43" s="8">
        <f t="shared" si="7"/>
        <v>1140000</v>
      </c>
      <c r="O43" s="8">
        <f t="shared" si="8"/>
        <v>639652.56686388515</v>
      </c>
      <c r="P43" s="8">
        <v>15000</v>
      </c>
      <c r="Q43" s="8">
        <f t="shared" si="9"/>
        <v>624652.56686388515</v>
      </c>
      <c r="R43" s="8">
        <f t="shared" si="15"/>
        <v>6526115.7421962069</v>
      </c>
      <c r="S43" s="8">
        <f t="shared" si="10"/>
        <v>7150768.3090600921</v>
      </c>
      <c r="T43" s="8">
        <f t="shared" si="11"/>
        <v>300000</v>
      </c>
      <c r="U43" s="8">
        <v>6000</v>
      </c>
      <c r="V43" s="8">
        <f t="shared" si="12"/>
        <v>6000</v>
      </c>
      <c r="W43" s="8">
        <v>50</v>
      </c>
    </row>
    <row r="44" spans="1:23" x14ac:dyDescent="0.3">
      <c r="A44" s="10">
        <v>46753</v>
      </c>
      <c r="B44" s="9">
        <f t="shared" si="13"/>
        <v>586.21285958884221</v>
      </c>
      <c r="C44" s="9">
        <f t="shared" si="0"/>
        <v>52</v>
      </c>
      <c r="D44" s="9">
        <f t="shared" si="1"/>
        <v>8.7931928938326323</v>
      </c>
      <c r="E44" s="9">
        <f t="shared" si="2"/>
        <v>629.4196666950096</v>
      </c>
      <c r="F44" s="8">
        <f t="shared" si="14"/>
        <v>3461.1200000000044</v>
      </c>
      <c r="G44" s="8">
        <f t="shared" si="3"/>
        <v>2178496.9967914345</v>
      </c>
      <c r="H44" s="8">
        <f t="shared" si="4"/>
        <v>2178496.9967914345</v>
      </c>
      <c r="I44" s="8">
        <f t="shared" si="5"/>
        <v>261419.63961497214</v>
      </c>
      <c r="J44" s="8">
        <f t="shared" si="6"/>
        <v>1917077.3571764624</v>
      </c>
      <c r="K44" s="8">
        <v>950000</v>
      </c>
      <c r="L44" s="8">
        <v>320000</v>
      </c>
      <c r="M44" s="8">
        <v>130000</v>
      </c>
      <c r="N44" s="8">
        <f t="shared" si="7"/>
        <v>1400000</v>
      </c>
      <c r="O44" s="8">
        <f t="shared" si="8"/>
        <v>517077.35717646242</v>
      </c>
      <c r="P44" s="8">
        <v>10000</v>
      </c>
      <c r="Q44" s="8">
        <f t="shared" si="9"/>
        <v>507077.35717646242</v>
      </c>
      <c r="R44" s="8">
        <f t="shared" si="15"/>
        <v>7150768.3090600921</v>
      </c>
      <c r="S44" s="8">
        <f t="shared" si="10"/>
        <v>7657845.6662365543</v>
      </c>
      <c r="T44" s="8">
        <f t="shared" si="11"/>
        <v>320000</v>
      </c>
      <c r="U44" s="8">
        <v>6153.8461538461543</v>
      </c>
      <c r="V44" s="8">
        <f t="shared" si="12"/>
        <v>6153.8461538461543</v>
      </c>
      <c r="W44" s="8">
        <v>52</v>
      </c>
    </row>
    <row r="45" spans="1:23" x14ac:dyDescent="0.3">
      <c r="A45" s="10">
        <v>46784</v>
      </c>
      <c r="B45" s="9">
        <f t="shared" si="13"/>
        <v>629.4196666950096</v>
      </c>
      <c r="C45" s="9">
        <f t="shared" si="0"/>
        <v>55</v>
      </c>
      <c r="D45" s="9">
        <f t="shared" si="1"/>
        <v>9.4412950004251428</v>
      </c>
      <c r="E45" s="9">
        <f t="shared" si="2"/>
        <v>674.97837169458444</v>
      </c>
      <c r="F45" s="8">
        <f t="shared" si="14"/>
        <v>3472.4508062349687</v>
      </c>
      <c r="G45" s="8">
        <f t="shared" si="3"/>
        <v>2343829.190982026</v>
      </c>
      <c r="H45" s="8">
        <f t="shared" si="4"/>
        <v>2343829.190982026</v>
      </c>
      <c r="I45" s="8">
        <f t="shared" si="5"/>
        <v>281259.50291784311</v>
      </c>
      <c r="J45" s="8">
        <f t="shared" si="6"/>
        <v>2062569.6880641829</v>
      </c>
      <c r="K45" s="8">
        <v>950000</v>
      </c>
      <c r="L45" s="8">
        <v>336400</v>
      </c>
      <c r="M45" s="8">
        <v>133600</v>
      </c>
      <c r="N45" s="8">
        <f t="shared" si="7"/>
        <v>1420000</v>
      </c>
      <c r="O45" s="8">
        <f t="shared" si="8"/>
        <v>642569.68806418288</v>
      </c>
      <c r="P45" s="8">
        <v>10000</v>
      </c>
      <c r="Q45" s="8">
        <f t="shared" si="9"/>
        <v>632569.68806418288</v>
      </c>
      <c r="R45" s="8">
        <f t="shared" si="15"/>
        <v>7657845.6662365543</v>
      </c>
      <c r="S45" s="8">
        <f t="shared" si="10"/>
        <v>8290415.3543007374</v>
      </c>
      <c r="T45" s="8">
        <f t="shared" si="11"/>
        <v>336400</v>
      </c>
      <c r="U45" s="8">
        <v>6116.363636363636</v>
      </c>
      <c r="V45" s="8">
        <f t="shared" si="12"/>
        <v>6116.363636363636</v>
      </c>
      <c r="W45" s="8">
        <v>55</v>
      </c>
    </row>
    <row r="46" spans="1:23" x14ac:dyDescent="0.3">
      <c r="A46" s="10">
        <v>46813</v>
      </c>
      <c r="B46" s="9">
        <f t="shared" si="13"/>
        <v>674.97837169458444</v>
      </c>
      <c r="C46" s="9">
        <f t="shared" si="0"/>
        <v>57</v>
      </c>
      <c r="D46" s="9">
        <f t="shared" si="1"/>
        <v>10.124675575418767</v>
      </c>
      <c r="E46" s="9">
        <f t="shared" si="2"/>
        <v>721.85369611916565</v>
      </c>
      <c r="F46" s="8">
        <f t="shared" si="14"/>
        <v>3483.8187065810689</v>
      </c>
      <c r="G46" s="8">
        <f t="shared" si="3"/>
        <v>2514807.4099546354</v>
      </c>
      <c r="H46" s="8">
        <f t="shared" si="4"/>
        <v>2514807.4099546354</v>
      </c>
      <c r="I46" s="8">
        <f t="shared" si="5"/>
        <v>301776.88919455622</v>
      </c>
      <c r="J46" s="8">
        <f t="shared" si="6"/>
        <v>2213030.5207600794</v>
      </c>
      <c r="K46" s="8">
        <v>950000</v>
      </c>
      <c r="L46" s="8">
        <v>352700</v>
      </c>
      <c r="M46" s="8">
        <v>137300</v>
      </c>
      <c r="N46" s="8">
        <f t="shared" si="7"/>
        <v>1440000</v>
      </c>
      <c r="O46" s="8">
        <f t="shared" si="8"/>
        <v>773030.52076007938</v>
      </c>
      <c r="P46" s="8">
        <v>10000</v>
      </c>
      <c r="Q46" s="8">
        <f t="shared" si="9"/>
        <v>763030.52076007938</v>
      </c>
      <c r="R46" s="8">
        <f t="shared" si="15"/>
        <v>8290415.3543007374</v>
      </c>
      <c r="S46" s="8">
        <f t="shared" si="10"/>
        <v>9053445.8750608172</v>
      </c>
      <c r="T46" s="8">
        <f t="shared" si="11"/>
        <v>352700</v>
      </c>
      <c r="U46" s="8">
        <v>6187.7192982456136</v>
      </c>
      <c r="V46" s="8">
        <f t="shared" si="12"/>
        <v>6187.7192982456136</v>
      </c>
      <c r="W46" s="8">
        <v>57</v>
      </c>
    </row>
    <row r="47" spans="1:23" x14ac:dyDescent="0.3">
      <c r="A47" s="10">
        <v>46844</v>
      </c>
      <c r="B47" s="9">
        <f t="shared" si="13"/>
        <v>721.85369611916565</v>
      </c>
      <c r="C47" s="9">
        <f t="shared" si="0"/>
        <v>60</v>
      </c>
      <c r="D47" s="9">
        <f t="shared" si="1"/>
        <v>10.827805441787484</v>
      </c>
      <c r="E47" s="9">
        <f t="shared" si="2"/>
        <v>771.02589067737813</v>
      </c>
      <c r="F47" s="8">
        <f t="shared" si="14"/>
        <v>3495.2238224747721</v>
      </c>
      <c r="G47" s="8">
        <f t="shared" si="3"/>
        <v>2694908.0608404013</v>
      </c>
      <c r="H47" s="8">
        <f t="shared" si="4"/>
        <v>2694908.0608404013</v>
      </c>
      <c r="I47" s="8">
        <f t="shared" si="5"/>
        <v>323388.96730084816</v>
      </c>
      <c r="J47" s="8">
        <f t="shared" si="6"/>
        <v>2371519.0935395532</v>
      </c>
      <c r="K47" s="8">
        <v>950000</v>
      </c>
      <c r="L47" s="8">
        <v>369100</v>
      </c>
      <c r="M47" s="8">
        <v>140900</v>
      </c>
      <c r="N47" s="8">
        <f t="shared" si="7"/>
        <v>1460000</v>
      </c>
      <c r="O47" s="8">
        <f t="shared" si="8"/>
        <v>911519.09353955323</v>
      </c>
      <c r="P47" s="8">
        <v>10000</v>
      </c>
      <c r="Q47" s="8">
        <f t="shared" si="9"/>
        <v>901519.09353955323</v>
      </c>
      <c r="R47" s="8">
        <f t="shared" si="15"/>
        <v>9053445.8750608172</v>
      </c>
      <c r="S47" s="8">
        <f t="shared" si="10"/>
        <v>9954964.96860037</v>
      </c>
      <c r="T47" s="8">
        <f t="shared" si="11"/>
        <v>369100</v>
      </c>
      <c r="U47" s="8">
        <v>6151.666666666667</v>
      </c>
      <c r="V47" s="8">
        <f t="shared" si="12"/>
        <v>6151.666666666667</v>
      </c>
      <c r="W47" s="8">
        <v>60</v>
      </c>
    </row>
    <row r="48" spans="1:23" x14ac:dyDescent="0.3">
      <c r="A48" s="10">
        <v>46874</v>
      </c>
      <c r="B48" s="9">
        <f t="shared" si="13"/>
        <v>771.02589067737813</v>
      </c>
      <c r="C48" s="9">
        <f t="shared" si="0"/>
        <v>62</v>
      </c>
      <c r="D48" s="9">
        <f t="shared" si="1"/>
        <v>11.565388360160672</v>
      </c>
      <c r="E48" s="9">
        <f t="shared" si="2"/>
        <v>821.46050231721745</v>
      </c>
      <c r="F48" s="8">
        <f t="shared" si="14"/>
        <v>3506.6662757500972</v>
      </c>
      <c r="G48" s="8">
        <f t="shared" si="3"/>
        <v>2880587.8403365212</v>
      </c>
      <c r="H48" s="8">
        <f t="shared" si="4"/>
        <v>2880587.8403365212</v>
      </c>
      <c r="I48" s="8">
        <f t="shared" si="5"/>
        <v>345670.54084038251</v>
      </c>
      <c r="J48" s="8">
        <f t="shared" si="6"/>
        <v>2534917.2994961385</v>
      </c>
      <c r="K48" s="8">
        <v>950000</v>
      </c>
      <c r="L48" s="8">
        <v>385500</v>
      </c>
      <c r="M48" s="8">
        <v>144500</v>
      </c>
      <c r="N48" s="8">
        <f t="shared" si="7"/>
        <v>1480000</v>
      </c>
      <c r="O48" s="8">
        <f t="shared" si="8"/>
        <v>1054917.2994961385</v>
      </c>
      <c r="P48" s="8">
        <v>10000</v>
      </c>
      <c r="Q48" s="8">
        <f t="shared" si="9"/>
        <v>1044917.2994961385</v>
      </c>
      <c r="R48" s="8">
        <f t="shared" si="15"/>
        <v>9954964.96860037</v>
      </c>
      <c r="S48" s="8">
        <f t="shared" si="10"/>
        <v>10999882.268096508</v>
      </c>
      <c r="T48" s="8">
        <f t="shared" si="11"/>
        <v>385500</v>
      </c>
      <c r="U48" s="8">
        <v>6217.7419354838712</v>
      </c>
      <c r="V48" s="8">
        <f t="shared" si="12"/>
        <v>6217.7419354838712</v>
      </c>
      <c r="W48" s="8">
        <v>62</v>
      </c>
    </row>
    <row r="49" spans="1:23" x14ac:dyDescent="0.3">
      <c r="A49" s="10">
        <v>46905</v>
      </c>
      <c r="B49" s="9">
        <f t="shared" si="13"/>
        <v>821.46050231721745</v>
      </c>
      <c r="C49" s="9">
        <f t="shared" si="0"/>
        <v>65</v>
      </c>
      <c r="D49" s="9">
        <f t="shared" si="1"/>
        <v>12.321907534758262</v>
      </c>
      <c r="E49" s="9">
        <f t="shared" si="2"/>
        <v>874.13859478245922</v>
      </c>
      <c r="F49" s="8">
        <f t="shared" si="14"/>
        <v>3518.1461886399156</v>
      </c>
      <c r="G49" s="8">
        <f t="shared" si="3"/>
        <v>3075347.3655769606</v>
      </c>
      <c r="H49" s="8">
        <f t="shared" si="4"/>
        <v>3075347.3655769606</v>
      </c>
      <c r="I49" s="8">
        <f t="shared" si="5"/>
        <v>369041.68386923528</v>
      </c>
      <c r="J49" s="8">
        <f t="shared" si="6"/>
        <v>2706305.6817077254</v>
      </c>
      <c r="K49" s="8">
        <v>950000</v>
      </c>
      <c r="L49" s="8">
        <v>401800</v>
      </c>
      <c r="M49" s="8">
        <v>148200</v>
      </c>
      <c r="N49" s="8">
        <f t="shared" si="7"/>
        <v>1500000</v>
      </c>
      <c r="O49" s="8">
        <f t="shared" si="8"/>
        <v>1206305.6817077254</v>
      </c>
      <c r="P49" s="8">
        <v>10000</v>
      </c>
      <c r="Q49" s="8">
        <f t="shared" si="9"/>
        <v>1196305.6817077254</v>
      </c>
      <c r="R49" s="8">
        <f t="shared" si="15"/>
        <v>10999882.268096508</v>
      </c>
      <c r="S49" s="8">
        <f t="shared" si="10"/>
        <v>12196187.949804233</v>
      </c>
      <c r="T49" s="8">
        <f t="shared" si="11"/>
        <v>401800</v>
      </c>
      <c r="U49" s="8">
        <v>6181.5384615384619</v>
      </c>
      <c r="V49" s="8">
        <f t="shared" si="12"/>
        <v>6181.5384615384619</v>
      </c>
      <c r="W49" s="8">
        <v>65</v>
      </c>
    </row>
    <row r="50" spans="1:23" x14ac:dyDescent="0.3">
      <c r="A50" s="10">
        <v>46935</v>
      </c>
      <c r="B50" s="9">
        <f t="shared" si="13"/>
        <v>874.13859478245922</v>
      </c>
      <c r="C50" s="9">
        <f t="shared" si="0"/>
        <v>67</v>
      </c>
      <c r="D50" s="9">
        <f t="shared" si="1"/>
        <v>13.112078921736888</v>
      </c>
      <c r="E50" s="9">
        <f t="shared" si="2"/>
        <v>928.02651586072238</v>
      </c>
      <c r="F50" s="8">
        <f t="shared" si="14"/>
        <v>3529.6636837772576</v>
      </c>
      <c r="G50" s="8">
        <f t="shared" si="3"/>
        <v>3275621.4906159309</v>
      </c>
      <c r="H50" s="8">
        <f t="shared" si="4"/>
        <v>3275621.4906159309</v>
      </c>
      <c r="I50" s="8">
        <f t="shared" si="5"/>
        <v>393074.5788739117</v>
      </c>
      <c r="J50" s="8">
        <f t="shared" si="6"/>
        <v>2882546.911742019</v>
      </c>
      <c r="K50" s="8">
        <v>1200000</v>
      </c>
      <c r="L50" s="8">
        <v>418200</v>
      </c>
      <c r="M50" s="8">
        <v>151800</v>
      </c>
      <c r="N50" s="8">
        <f t="shared" si="7"/>
        <v>1770000</v>
      </c>
      <c r="O50" s="8">
        <f t="shared" si="8"/>
        <v>1112546.911742019</v>
      </c>
      <c r="P50" s="8">
        <v>10000</v>
      </c>
      <c r="Q50" s="8">
        <f t="shared" si="9"/>
        <v>1102546.911742019</v>
      </c>
      <c r="R50" s="8">
        <f t="shared" si="15"/>
        <v>12196187.949804233</v>
      </c>
      <c r="S50" s="8">
        <f t="shared" si="10"/>
        <v>13298734.861546252</v>
      </c>
      <c r="T50" s="8">
        <f t="shared" si="11"/>
        <v>418200</v>
      </c>
      <c r="U50" s="8">
        <v>6241.7910447761196</v>
      </c>
      <c r="V50" s="8">
        <f t="shared" si="12"/>
        <v>6241.7910447761196</v>
      </c>
      <c r="W50" s="8">
        <v>67</v>
      </c>
    </row>
    <row r="51" spans="1:23" x14ac:dyDescent="0.3">
      <c r="A51" s="10">
        <v>46966</v>
      </c>
      <c r="B51" s="9">
        <f t="shared" si="13"/>
        <v>928.02651586072238</v>
      </c>
      <c r="C51" s="9">
        <f t="shared" si="0"/>
        <v>70</v>
      </c>
      <c r="D51" s="9">
        <f t="shared" si="1"/>
        <v>13.920397737910836</v>
      </c>
      <c r="E51" s="9">
        <f t="shared" si="2"/>
        <v>984.10611812281149</v>
      </c>
      <c r="F51" s="8">
        <f t="shared" si="14"/>
        <v>3541.2188841966217</v>
      </c>
      <c r="G51" s="8">
        <f t="shared" si="3"/>
        <v>3484935.1695499313</v>
      </c>
      <c r="H51" s="8">
        <f t="shared" si="4"/>
        <v>3484935.1695499313</v>
      </c>
      <c r="I51" s="8">
        <f t="shared" si="5"/>
        <v>418192.22034599172</v>
      </c>
      <c r="J51" s="8">
        <f t="shared" si="6"/>
        <v>3066742.9492039396</v>
      </c>
      <c r="K51" s="8">
        <v>1200000</v>
      </c>
      <c r="L51" s="8">
        <v>434500</v>
      </c>
      <c r="M51" s="8">
        <v>155500</v>
      </c>
      <c r="N51" s="8">
        <f t="shared" si="7"/>
        <v>1790000</v>
      </c>
      <c r="O51" s="8">
        <f t="shared" si="8"/>
        <v>1276742.9492039396</v>
      </c>
      <c r="P51" s="8">
        <v>10000</v>
      </c>
      <c r="Q51" s="8">
        <f t="shared" si="9"/>
        <v>1266742.9492039396</v>
      </c>
      <c r="R51" s="8">
        <f t="shared" si="15"/>
        <v>13298734.861546252</v>
      </c>
      <c r="S51" s="8">
        <f t="shared" si="10"/>
        <v>14565477.810750192</v>
      </c>
      <c r="T51" s="8">
        <f t="shared" si="11"/>
        <v>434500</v>
      </c>
      <c r="U51" s="8">
        <v>6207.1428571428569</v>
      </c>
      <c r="V51" s="8">
        <f t="shared" si="12"/>
        <v>6207.1428571428569</v>
      </c>
      <c r="W51" s="8">
        <v>70</v>
      </c>
    </row>
    <row r="52" spans="1:23" x14ac:dyDescent="0.3">
      <c r="A52" s="10">
        <v>46997</v>
      </c>
      <c r="B52" s="9">
        <f t="shared" si="13"/>
        <v>984.10611812281149</v>
      </c>
      <c r="C52" s="9">
        <f t="shared" si="0"/>
        <v>72</v>
      </c>
      <c r="D52" s="9">
        <f t="shared" si="1"/>
        <v>14.761591771842172</v>
      </c>
      <c r="E52" s="9">
        <f t="shared" si="2"/>
        <v>1041.3445263509693</v>
      </c>
      <c r="F52" s="8">
        <f t="shared" si="14"/>
        <v>3552.8119133352902</v>
      </c>
      <c r="G52" s="8">
        <f t="shared" si="3"/>
        <v>3699701.2391062188</v>
      </c>
      <c r="H52" s="8">
        <f t="shared" si="4"/>
        <v>3699701.2391062188</v>
      </c>
      <c r="I52" s="8">
        <f t="shared" si="5"/>
        <v>443964.14869274624</v>
      </c>
      <c r="J52" s="8">
        <f t="shared" si="6"/>
        <v>3255737.0904134726</v>
      </c>
      <c r="K52" s="8">
        <v>1200000</v>
      </c>
      <c r="L52" s="8">
        <v>450900</v>
      </c>
      <c r="M52" s="8">
        <v>159100</v>
      </c>
      <c r="N52" s="8">
        <f t="shared" si="7"/>
        <v>1810000</v>
      </c>
      <c r="O52" s="8">
        <f t="shared" si="8"/>
        <v>1445737.0904134726</v>
      </c>
      <c r="P52" s="8">
        <v>10000</v>
      </c>
      <c r="Q52" s="8">
        <f t="shared" si="9"/>
        <v>1435737.0904134726</v>
      </c>
      <c r="R52" s="8">
        <f t="shared" si="15"/>
        <v>14565477.810750192</v>
      </c>
      <c r="S52" s="8">
        <f t="shared" si="10"/>
        <v>16001214.901163664</v>
      </c>
      <c r="T52" s="8">
        <f t="shared" si="11"/>
        <v>450900</v>
      </c>
      <c r="U52" s="8">
        <v>6262.5</v>
      </c>
      <c r="V52" s="8">
        <f t="shared" si="12"/>
        <v>6262.5</v>
      </c>
      <c r="W52" s="8">
        <v>72</v>
      </c>
    </row>
    <row r="53" spans="1:23" x14ac:dyDescent="0.3">
      <c r="A53" s="10">
        <v>47027</v>
      </c>
      <c r="B53" s="9">
        <f t="shared" si="13"/>
        <v>1041.3445263509693</v>
      </c>
      <c r="C53" s="9">
        <f t="shared" si="0"/>
        <v>75</v>
      </c>
      <c r="D53" s="9">
        <f t="shared" si="1"/>
        <v>15.620167895264538</v>
      </c>
      <c r="E53" s="9">
        <f t="shared" si="2"/>
        <v>1100.7243584557048</v>
      </c>
      <c r="F53" s="8">
        <f t="shared" si="14"/>
        <v>3564.4428950346464</v>
      </c>
      <c r="G53" s="8">
        <f t="shared" si="3"/>
        <v>3923469.1188890063</v>
      </c>
      <c r="H53" s="8">
        <f t="shared" si="4"/>
        <v>3923469.1188890063</v>
      </c>
      <c r="I53" s="8">
        <f t="shared" si="5"/>
        <v>470816.29426668072</v>
      </c>
      <c r="J53" s="8">
        <f t="shared" si="6"/>
        <v>3452652.8246223256</v>
      </c>
      <c r="K53" s="8">
        <v>1200000</v>
      </c>
      <c r="L53" s="8">
        <v>467300</v>
      </c>
      <c r="M53" s="8">
        <v>162700</v>
      </c>
      <c r="N53" s="8">
        <f t="shared" si="7"/>
        <v>1830000</v>
      </c>
      <c r="O53" s="8">
        <f t="shared" si="8"/>
        <v>1622652.8246223256</v>
      </c>
      <c r="P53" s="8">
        <v>10000</v>
      </c>
      <c r="Q53" s="8">
        <f t="shared" si="9"/>
        <v>1612652.8246223256</v>
      </c>
      <c r="R53" s="8">
        <f t="shared" si="15"/>
        <v>16001214.901163664</v>
      </c>
      <c r="S53" s="8">
        <f t="shared" si="10"/>
        <v>17613867.725785989</v>
      </c>
      <c r="T53" s="8">
        <f t="shared" si="11"/>
        <v>467300</v>
      </c>
      <c r="U53" s="8">
        <v>6230.666666666667</v>
      </c>
      <c r="V53" s="8">
        <f t="shared" si="12"/>
        <v>6230.666666666667</v>
      </c>
      <c r="W53" s="8">
        <v>75</v>
      </c>
    </row>
    <row r="54" spans="1:23" x14ac:dyDescent="0.3">
      <c r="A54" s="10">
        <v>47058</v>
      </c>
      <c r="B54" s="9">
        <f t="shared" si="13"/>
        <v>1100.7243584557048</v>
      </c>
      <c r="C54" s="9">
        <f t="shared" si="0"/>
        <v>77</v>
      </c>
      <c r="D54" s="9">
        <f t="shared" si="1"/>
        <v>16.510865376835572</v>
      </c>
      <c r="E54" s="9">
        <f t="shared" si="2"/>
        <v>1161.2134930788691</v>
      </c>
      <c r="F54" s="8">
        <f t="shared" si="14"/>
        <v>3576.1119535414978</v>
      </c>
      <c r="G54" s="8">
        <f t="shared" si="3"/>
        <v>4152629.4532130212</v>
      </c>
      <c r="H54" s="8">
        <f t="shared" si="4"/>
        <v>4152629.4532130212</v>
      </c>
      <c r="I54" s="8">
        <f t="shared" si="5"/>
        <v>498315.53438556253</v>
      </c>
      <c r="J54" s="8">
        <f t="shared" si="6"/>
        <v>3654313.9188274588</v>
      </c>
      <c r="K54" s="8">
        <v>1200000</v>
      </c>
      <c r="L54" s="8">
        <v>483600</v>
      </c>
      <c r="M54" s="8">
        <v>166400</v>
      </c>
      <c r="N54" s="8">
        <f t="shared" si="7"/>
        <v>1850000</v>
      </c>
      <c r="O54" s="8">
        <f t="shared" si="8"/>
        <v>1804313.9188274588</v>
      </c>
      <c r="P54" s="8">
        <v>10000</v>
      </c>
      <c r="Q54" s="8">
        <f t="shared" si="9"/>
        <v>1794313.9188274588</v>
      </c>
      <c r="R54" s="8">
        <f t="shared" si="15"/>
        <v>17613867.725785989</v>
      </c>
      <c r="S54" s="8">
        <f t="shared" si="10"/>
        <v>19408181.644613449</v>
      </c>
      <c r="T54" s="8">
        <f t="shared" si="11"/>
        <v>483600</v>
      </c>
      <c r="U54" s="8">
        <v>6280.5194805194806</v>
      </c>
      <c r="V54" s="8">
        <f t="shared" si="12"/>
        <v>6280.5194805194806</v>
      </c>
      <c r="W54" s="8">
        <v>77</v>
      </c>
    </row>
    <row r="55" spans="1:23" x14ac:dyDescent="0.3">
      <c r="A55" s="10">
        <v>47088</v>
      </c>
      <c r="B55" s="9">
        <f t="shared" si="13"/>
        <v>1161.2134930788691</v>
      </c>
      <c r="C55" s="9">
        <f t="shared" si="0"/>
        <v>80</v>
      </c>
      <c r="D55" s="9">
        <f t="shared" si="1"/>
        <v>17.418202396183034</v>
      </c>
      <c r="E55" s="9">
        <f t="shared" si="2"/>
        <v>1223.7952906826861</v>
      </c>
      <c r="F55" s="8">
        <f t="shared" si="14"/>
        <v>3587.8192135094037</v>
      </c>
      <c r="G55" s="8">
        <f t="shared" si="3"/>
        <v>4390756.2573136669</v>
      </c>
      <c r="H55" s="8">
        <f t="shared" si="4"/>
        <v>4390756.2573136669</v>
      </c>
      <c r="I55" s="8">
        <f t="shared" si="5"/>
        <v>526890.75087763998</v>
      </c>
      <c r="J55" s="8">
        <f t="shared" si="6"/>
        <v>3863865.5064360267</v>
      </c>
      <c r="K55" s="8">
        <v>1200000</v>
      </c>
      <c r="L55" s="8">
        <v>500000</v>
      </c>
      <c r="M55" s="8">
        <v>170000</v>
      </c>
      <c r="N55" s="8">
        <f t="shared" si="7"/>
        <v>1870000</v>
      </c>
      <c r="O55" s="8">
        <f t="shared" si="8"/>
        <v>1993865.5064360267</v>
      </c>
      <c r="P55" s="8">
        <v>10000</v>
      </c>
      <c r="Q55" s="8">
        <f t="shared" si="9"/>
        <v>1983865.5064360267</v>
      </c>
      <c r="R55" s="8">
        <f t="shared" si="15"/>
        <v>19408181.644613449</v>
      </c>
      <c r="S55" s="8">
        <f t="shared" si="10"/>
        <v>21392047.151049476</v>
      </c>
      <c r="T55" s="8">
        <f t="shared" si="11"/>
        <v>500000</v>
      </c>
      <c r="U55" s="8">
        <v>6250</v>
      </c>
      <c r="V55" s="8">
        <f t="shared" si="12"/>
        <v>6250</v>
      </c>
      <c r="W55" s="8">
        <v>80</v>
      </c>
    </row>
  </sheetData>
  <dataValidations count="2">
    <dataValidation type="list" sqref="E4" xr:uid="{00000000-0002-0000-0300-000000000000}">
      <formula1>"AUTO,MANUELL"</formula1>
    </dataValidation>
    <dataValidation type="list" sqref="E5" xr:uid="{00000000-0002-0000-0300-000001000000}">
      <formula1>"KALIBRERT,KONSTANT"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README</vt:lpstr>
      <vt:lpstr>Sammendrag</vt:lpstr>
      <vt:lpstr>Konservativ</vt:lpstr>
      <vt:lpstr>Base</vt:lpstr>
      <vt:lpstr>Aggressiv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Christoffer Kyllingstad</cp:lastModifiedBy>
  <dcterms:created xsi:type="dcterms:W3CDTF">2025-12-28T03:57:16Z</dcterms:created>
  <dcterms:modified xsi:type="dcterms:W3CDTF">2025-12-28T04:43:28Z</dcterms:modified>
</cp:coreProperties>
</file>